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jzX3PLppqTiZX2u6fSyumy7Gl4KB9Sw6DjjtjeUPImLXoPG3h9kWhHfnU19qyfG2jA3onbo1nYqRYX86K2Q/lg==" workbookSaltValue="8adsCpLj/j8MSBGcqUnt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AP32" i="20"/>
  <c r="AQ32" i="20"/>
  <c r="AA32" i="20"/>
  <c r="AN32" i="20"/>
  <c r="AD32" i="20"/>
  <c r="AC32" i="20"/>
  <c r="O10" i="11"/>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<sst xmlns="http://schemas.openxmlformats.org/spreadsheetml/2006/main" count="2682" uniqueCount="1193">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</sst>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qI6PmeD0iCID7wQ+Gj44U+fYFNU2pA73Xul/e9cOU6r33etyZKlwzBSN40f7+4SWVFtdDGKjzseEap6UzJ+9g==" saltValue="br8J9BAVcPu9ibDK4yf/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100</v>
      </c>
      <c r="D10" s="239">
        <f>IF(ISNUMBER(Datos!I10),Datos!I10," - ")</f>
        <v>100</v>
      </c>
      <c r="E10" s="240">
        <f>IF(ISNUMBER(Datos!J10),Datos!J10," - ")</f>
        <v>18</v>
      </c>
      <c r="F10" s="240">
        <f>IF(ISNUMBER(Datos!K10),Datos!K10," - ")</f>
        <v>25</v>
      </c>
      <c r="G10" s="1390" t="str">
        <f>IF(Datos!E10&lt;&gt;"",Datos!E10,Datos!D10)</f>
        <v>37</v>
      </c>
      <c r="H10" s="241">
        <f>IF(ISNUMBER(Datos!L10),Datos!L10," - ")</f>
        <v>93</v>
      </c>
      <c r="I10" s="1400" t="str">
        <f>IF(ISNUMBER(Datos!AS10/Datos!BM10),Datos!AS10/Datos!BM10," - ")</f>
        <v xml:space="preserve"> - </v>
      </c>
      <c r="J10" s="1401">
        <f>IF(ISNUMBER(Datos!BY10/Datos!CN10),Datos!BY10/Datos!CN10," - ")</f>
        <v>0</v>
      </c>
      <c r="K10" s="244">
        <f t="shared" ref="K10:K13" si="1">IF(ISNUMBER((E10-F10)/C10),(E10-F10)/C10," - ")</f>
        <v>-7.0000000000000007E-2</v>
      </c>
      <c r="L10" s="1402">
        <f>IF(ISNUMBER(NºAsuntos!I10/NºAsuntos!G10),(NºAsuntos!I10/NºAsuntos!G10)*11," - ")</f>
        <v>40.92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103.38124238733252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100</v>
      </c>
      <c r="D14" s="1407">
        <f>SUBTOTAL(9,D9:D13)</f>
        <v>100</v>
      </c>
      <c r="E14" s="1408">
        <f>SUBTOTAL(9,E9:E13)</f>
        <v>18</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3879</v>
      </c>
      <c r="D17" s="239">
        <f>IF(ISNUMBER(IF(D_I="SI",Datos!I17,Datos!I17+Datos!AC17)),IF(D_I="SI",Datos!I17,Datos!I17+Datos!AC17)," - ")</f>
        <v>3873</v>
      </c>
      <c r="E17" s="240">
        <f>IF(ISNUMBER(IF(D_I="SI",Datos!J17,Datos!J17+Datos!AD17)),IF(D_I="SI",Datos!J17,Datos!J17+Datos!AD17)," - ")</f>
        <v>966</v>
      </c>
      <c r="F17" s="240">
        <f>IF(ISNUMBER(IF(D_I="SI",Datos!K17,Datos!K17+Datos!AE17)),IF(D_I="SI",Datos!K17,Datos!K17+Datos!AE17)," - ")</f>
        <v>1013</v>
      </c>
      <c r="G17" s="1390" t="str">
        <f>IF(Datos!E17&lt;&gt;"",Datos!E17,Datos!D17)</f>
        <v>04</v>
      </c>
      <c r="H17" s="241">
        <f>IF(ISNUMBER(IF(D_I="SI",Datos!L17,Datos!L17+Datos!AF17)),IF(D_I="SI",Datos!L17,Datos!L17+Datos!AF17)," - ")</f>
        <v>3832</v>
      </c>
      <c r="I17" s="1400" t="str">
        <f>IF(ISNUMBER(Datos!AS17/Datos!BM17),Datos!AS17/Datos!BM17," - ")</f>
        <v xml:space="preserve"> - </v>
      </c>
      <c r="J17" s="1401">
        <f>IF(ISNUMBER(Datos!BY17/Datos!CN17),Datos!BY17/Datos!CN17," - ")</f>
        <v>0</v>
      </c>
      <c r="K17" s="244">
        <f t="shared" si="3"/>
        <v>-1.211652487754576E-2</v>
      </c>
      <c r="L17" s="1402">
        <f>IF(ISNUMBER(NºAsuntos!I17/NºAsuntos!G17),(NºAsuntos!I17/NºAsuntos!G17)*11," - ")</f>
        <v>41.61105626850938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129</v>
      </c>
      <c r="D18" s="239">
        <f>IF(ISNUMBER(IF(D_I="SI",Datos!I18,Datos!I18+Datos!AC18)),IF(D_I="SI",Datos!I18,Datos!I18+Datos!AC18)," - ")</f>
        <v>129</v>
      </c>
      <c r="E18" s="240">
        <f>IF(ISNUMBER(IF(D_I="SI",Datos!J18,Datos!J18+Datos!AD18)),IF(D_I="SI",Datos!J18,Datos!J18+Datos!AD18)," - ")</f>
        <v>97</v>
      </c>
      <c r="F18" s="240">
        <f>IF(ISNUMBER(IF(D_I="SI",Datos!K18,Datos!K18+Datos!AE18)),IF(D_I="SI",Datos!K18,Datos!K18+Datos!AE18)," - ")</f>
        <v>84</v>
      </c>
      <c r="G18" s="1390" t="str">
        <f>IF(Datos!E18&lt;&gt;"",Datos!E18,Datos!D18)</f>
        <v>37</v>
      </c>
      <c r="H18" s="241">
        <f>IF(ISNUMBER(IF(D_I="SI",Datos!L18,Datos!L18+Datos!AF18)),IF(D_I="SI",Datos!L18,Datos!L18+Datos!AF18)," - ")</f>
        <v>142</v>
      </c>
      <c r="I18" s="1400" t="str">
        <f>IF(ISNUMBER(Datos!AS18/Datos!BM18),Datos!AS18/Datos!BM18," - ")</f>
        <v xml:space="preserve"> - </v>
      </c>
      <c r="J18" s="1401" t="str">
        <f>IF(ISNUMBER((Datos!BY18+Datos!BZ18)/Datos!CN18),(Datos!BY18+Datos!BZ18)/Datos!CN18," - ")</f>
        <v xml:space="preserve"> - </v>
      </c>
      <c r="K18" s="244">
        <f t="shared" si="3"/>
        <v>0.10077519379844961</v>
      </c>
      <c r="L18" s="1402">
        <f>IF(ISNUMBER(NºAsuntos!I18/NºAsuntos!G18),(NºAsuntos!I18/NºAsuntos!G18)*11," - ")</f>
        <v>18.595238095238095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4008</v>
      </c>
      <c r="D23" s="1407">
        <f>SUBTOTAL(9,D16:D22)</f>
        <v>4002</v>
      </c>
      <c r="E23" s="1408">
        <f>SUBTOTAL(9,E16:E22)</f>
        <v>1063</v>
      </c>
      <c r="F23" s="1408">
        <f>SUBTOTAL(9,F16:F22)</f>
        <v>1097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4108</v>
      </c>
      <c r="D31" s="1435">
        <f>SUBTOTAL(9,D9:D30)</f>
        <v>4102</v>
      </c>
      <c r="E31" s="1436">
        <f>SUBTOTAL(9,E9:E30)</f>
        <v>1081</v>
      </c>
      <c r="F31" s="1436">
        <f>SUBTOTAL(9,F9:F30)</f>
        <v>1122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Lpbdgt4oKN1BCABlx+g7hWDd3GSS5ima8OfUOk9rYqzvfNRglr0JYXKcdBaHhdf7r4rv9RZf8Ip+7nrTZJX9w==" saltValue="DL5DcW3G9O6BAQ7mUBPq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S9gWDM/YDxaGFN+B4aEtnmZkG46hEg7m2zSAbUdZovvmx5fo2nvjF+sbziv3ILvEIvmTV1MxsPMOTZyJatbAg==" saltValue="irJvP24HhsSgsSjmbGp7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100</v>
      </c>
      <c r="J10" s="194">
        <v>18</v>
      </c>
      <c r="K10" s="194">
        <v>25</v>
      </c>
      <c r="L10" s="194">
        <v>93</v>
      </c>
      <c r="M10" s="194">
        <v>15</v>
      </c>
      <c r="N10" s="194">
        <v>3</v>
      </c>
      <c r="O10" s="194">
        <v>0</v>
      </c>
      <c r="P10" s="194">
        <v>0</v>
      </c>
      <c r="Q10" s="194">
        <v>0</v>
      </c>
      <c r="R10" s="194">
        <v>0</v>
      </c>
      <c r="S10" s="194">
        <v>87</v>
      </c>
      <c r="T10" s="194">
        <v>20</v>
      </c>
      <c r="U10" s="194">
        <v>26</v>
      </c>
      <c r="V10" s="194">
        <v>81</v>
      </c>
      <c r="W10" s="194">
        <v>3</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87</v>
      </c>
      <c r="AZ10" s="139">
        <f t="shared" si="0"/>
        <v>20</v>
      </c>
      <c r="BA10" s="139">
        <f t="shared" si="0"/>
        <v>26</v>
      </c>
      <c r="BB10" s="139">
        <f t="shared" si="0"/>
        <v>81</v>
      </c>
      <c r="BC10" s="135">
        <f t="shared" si="0"/>
        <v>3</v>
      </c>
      <c r="BD10" s="136">
        <f>IF(ISNUMBER(BA10/AZ10),BA10/AZ10," - ")</f>
        <v>1.3</v>
      </c>
      <c r="BE10" s="137">
        <f>IF(ISNUMBER(BB10/BA10),BB10/BA10, " - ")</f>
        <v>3.1153846153846154</v>
      </c>
      <c r="BF10" s="137">
        <f>IF(ISNUMBER(BC10/BA10),BC10/BA10, " - ")</f>
        <v>0.11538461538461539</v>
      </c>
      <c r="BG10" s="209">
        <f>IF(ISNUMBER((AY10+AZ10)/BA10),(AY10+AZ10)/BA10," - ")</f>
        <v>4.115384615384615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7112</v>
      </c>
      <c r="J12" s="196">
        <v>1276</v>
      </c>
      <c r="K12" s="196">
        <v>769</v>
      </c>
      <c r="L12" s="196">
        <v>7604</v>
      </c>
      <c r="M12" s="196">
        <v>281</v>
      </c>
      <c r="N12" s="196">
        <v>266</v>
      </c>
      <c r="O12" s="194">
        <v>203</v>
      </c>
      <c r="P12" s="196">
        <v>185</v>
      </c>
      <c r="Q12" s="196">
        <v>40</v>
      </c>
      <c r="R12" s="196">
        <v>6124</v>
      </c>
      <c r="S12" s="196">
        <v>6116</v>
      </c>
      <c r="T12" s="196">
        <v>1118</v>
      </c>
      <c r="U12" s="196">
        <v>746</v>
      </c>
      <c r="V12" s="196">
        <v>6488</v>
      </c>
      <c r="W12" s="196">
        <v>273</v>
      </c>
      <c r="X12" s="202">
        <v>232</v>
      </c>
      <c r="Y12" s="204">
        <v>122</v>
      </c>
      <c r="Z12" s="194">
        <v>42</v>
      </c>
      <c r="AA12" s="194">
        <v>52</v>
      </c>
      <c r="AB12" s="194">
        <v>112</v>
      </c>
      <c r="AC12" s="196">
        <v>0</v>
      </c>
      <c r="AD12" s="196">
        <v>0</v>
      </c>
      <c r="AE12" s="196">
        <v>0</v>
      </c>
      <c r="AF12" s="202">
        <v>0</v>
      </c>
      <c r="AG12" s="215">
        <v>88</v>
      </c>
      <c r="AH12" s="196">
        <v>55</v>
      </c>
      <c r="AI12" s="196">
        <v>40</v>
      </c>
      <c r="AJ12" s="216">
        <v>103</v>
      </c>
      <c r="AK12" s="195">
        <v>0</v>
      </c>
      <c r="AL12" s="196">
        <v>0</v>
      </c>
      <c r="AM12" s="196">
        <v>0</v>
      </c>
      <c r="AN12" s="202">
        <v>0</v>
      </c>
      <c r="AO12" s="283">
        <v>4</v>
      </c>
      <c r="AP12" s="168">
        <v>4</v>
      </c>
      <c r="AQ12" s="168">
        <v>4</v>
      </c>
      <c r="AR12" s="167">
        <v>4</v>
      </c>
      <c r="AS12" s="381" t="s">
        <v>1075</v>
      </c>
      <c r="AT12" s="216"/>
      <c r="AU12" s="215"/>
      <c r="AV12" s="216"/>
      <c r="AW12" s="215"/>
      <c r="AX12" s="216"/>
      <c r="AY12" s="136">
        <f t="shared" si="1"/>
        <v>6204</v>
      </c>
      <c r="AZ12" s="137">
        <f t="shared" si="1"/>
        <v>1173</v>
      </c>
      <c r="BA12" s="137">
        <f t="shared" si="1"/>
        <v>786</v>
      </c>
      <c r="BB12" s="137">
        <f t="shared" si="1"/>
        <v>6591</v>
      </c>
      <c r="BC12" s="135">
        <f>IF(ISNUMBER(X12),X12," - ")</f>
        <v>232</v>
      </c>
      <c r="BD12" s="136">
        <f t="shared" si="2"/>
        <v>0.67007672634271098</v>
      </c>
      <c r="BE12" s="137">
        <f t="shared" si="3"/>
        <v>8.3854961832061061</v>
      </c>
      <c r="BF12" s="137">
        <f t="shared" si="4"/>
        <v>0.2951653944020356</v>
      </c>
      <c r="BG12" s="209">
        <f t="shared" si="5"/>
        <v>9.3854961832061061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7212</v>
      </c>
      <c r="J14" s="197">
        <f t="shared" si="7"/>
        <v>1294</v>
      </c>
      <c r="K14" s="197">
        <f t="shared" si="7"/>
        <v>794</v>
      </c>
      <c r="L14" s="197">
        <f t="shared" si="7"/>
        <v>7697</v>
      </c>
      <c r="M14" s="197">
        <f t="shared" si="7"/>
        <v>296</v>
      </c>
      <c r="N14" s="197">
        <f t="shared" si="7"/>
        <v>269</v>
      </c>
      <c r="O14" s="197">
        <f t="shared" si="7"/>
        <v>203</v>
      </c>
      <c r="P14" s="197">
        <f t="shared" si="7"/>
        <v>185</v>
      </c>
      <c r="Q14" s="197">
        <f t="shared" si="7"/>
        <v>40</v>
      </c>
      <c r="R14" s="197">
        <f t="shared" si="7"/>
        <v>6124</v>
      </c>
      <c r="S14" s="197">
        <f t="shared" si="7"/>
        <v>6203</v>
      </c>
      <c r="T14" s="197">
        <f t="shared" si="7"/>
        <v>1138</v>
      </c>
      <c r="U14" s="197">
        <f t="shared" si="7"/>
        <v>772</v>
      </c>
      <c r="V14" s="197">
        <f t="shared" si="7"/>
        <v>6569</v>
      </c>
      <c r="W14" s="197">
        <f t="shared" si="7"/>
        <v>276</v>
      </c>
      <c r="X14" s="197">
        <f t="shared" si="7"/>
        <v>235</v>
      </c>
      <c r="Y14" s="197">
        <f t="shared" si="7"/>
        <v>122</v>
      </c>
      <c r="Z14" s="197">
        <f t="shared" si="7"/>
        <v>42</v>
      </c>
      <c r="AA14" s="197">
        <f t="shared" si="7"/>
        <v>52</v>
      </c>
      <c r="AB14" s="197">
        <f t="shared" si="7"/>
        <v>112</v>
      </c>
      <c r="AC14" s="197">
        <f t="shared" si="7"/>
        <v>0</v>
      </c>
      <c r="AD14" s="197">
        <f t="shared" si="7"/>
        <v>0</v>
      </c>
      <c r="AE14" s="197">
        <f t="shared" si="7"/>
        <v>0</v>
      </c>
      <c r="AF14" s="197">
        <f>SUBTOTAL(9,AF9:AF13)</f>
        <v>0</v>
      </c>
      <c r="AG14" s="197">
        <f t="shared" ref="AG14:AT14" si="8">SUBTOTAL(9,AG8:AG13)</f>
        <v>88</v>
      </c>
      <c r="AH14" s="197">
        <f t="shared" si="8"/>
        <v>55</v>
      </c>
      <c r="AI14" s="197">
        <f t="shared" si="8"/>
        <v>40</v>
      </c>
      <c r="AJ14" s="197">
        <f t="shared" si="8"/>
        <v>103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6291</v>
      </c>
      <c r="AZ14" s="197">
        <f>SUBTOTAL(9,AZ8:AZ13)</f>
        <v>1193</v>
      </c>
      <c r="BA14" s="197">
        <f>SUBTOTAL(9,BA8:BA13)</f>
        <v>812</v>
      </c>
      <c r="BB14" s="197">
        <f>SUBTOTAL(9,BB8:BB13)</f>
        <v>6672</v>
      </c>
      <c r="BC14" s="197">
        <f>SUBTOTAL(9,BC8:BC13)</f>
        <v>235</v>
      </c>
      <c r="BD14" s="219">
        <f>IF(ISNUMBER(BA14/AZ14),BA14/AZ14," - ")</f>
        <v>0.68063704945515502</v>
      </c>
      <c r="BE14" s="220">
        <f>IF(ISNUMBER(BB14/BA14),BB14/BA14, " - ")</f>
        <v>8.2167487684729057</v>
      </c>
      <c r="BF14" s="220">
        <f>IF(ISNUMBER(BC14/BA14),BC14/BA14, " - ")</f>
        <v>0.2894088669950739</v>
      </c>
      <c r="BG14" s="221">
        <f>IF(ISNUMBER((AY14+AZ14)/BA14),(AY14+AZ14)/BA14," - ")</f>
        <v>9.2167487684729057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3873</v>
      </c>
      <c r="J17" s="196">
        <v>966</v>
      </c>
      <c r="K17" s="196">
        <v>1013</v>
      </c>
      <c r="L17" s="196">
        <v>3832</v>
      </c>
      <c r="M17" s="196">
        <v>136</v>
      </c>
      <c r="N17" s="196">
        <v>704</v>
      </c>
      <c r="O17" s="194">
        <v>3</v>
      </c>
      <c r="P17" s="196">
        <v>18</v>
      </c>
      <c r="Q17" s="196">
        <v>13</v>
      </c>
      <c r="R17" s="196">
        <v>145</v>
      </c>
      <c r="S17" s="196">
        <v>3433</v>
      </c>
      <c r="T17" s="196">
        <v>1048</v>
      </c>
      <c r="U17" s="196">
        <v>814</v>
      </c>
      <c r="V17" s="196">
        <v>3678</v>
      </c>
      <c r="W17" s="196">
        <v>175</v>
      </c>
      <c r="X17" s="202">
        <v>527</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3433</v>
      </c>
      <c r="AZ17" s="137">
        <f t="shared" si="10"/>
        <v>1048</v>
      </c>
      <c r="BA17" s="137">
        <f t="shared" si="10"/>
        <v>814</v>
      </c>
      <c r="BB17" s="137">
        <f t="shared" si="10"/>
        <v>3678</v>
      </c>
      <c r="BC17" s="135">
        <f>IF(ISNUMBER(W17),W17," - ")</f>
        <v>175</v>
      </c>
      <c r="BD17" s="136">
        <f t="shared" ref="BD17:BD22" si="12">IF(ISNUMBER(BA17/AZ17),BA17/AZ17," - ")</f>
        <v>0.77671755725190839</v>
      </c>
      <c r="BE17" s="137">
        <f t="shared" ref="BE17:BE22" si="13">IF(ISNUMBER(BB17/BA17),BB17/BA17, " - ")</f>
        <v>4.5184275184275187</v>
      </c>
      <c r="BF17" s="137">
        <f t="shared" ref="BF17:BF22" si="14">IF(ISNUMBER(BC17/BA17),BC17/BA17, " - ")</f>
        <v>0.21498771498771499</v>
      </c>
      <c r="BG17" s="209">
        <f t="shared" si="11"/>
        <v>5.5049140049140046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129</v>
      </c>
      <c r="J18" s="196">
        <v>97</v>
      </c>
      <c r="K18" s="196">
        <v>84</v>
      </c>
      <c r="L18" s="196">
        <v>142</v>
      </c>
      <c r="M18" s="196">
        <v>17</v>
      </c>
      <c r="N18" s="196">
        <v>58</v>
      </c>
      <c r="O18" s="196">
        <v>0</v>
      </c>
      <c r="P18" s="196">
        <v>2</v>
      </c>
      <c r="Q18" s="196">
        <v>0</v>
      </c>
      <c r="R18" s="196">
        <v>19</v>
      </c>
      <c r="S18" s="196">
        <v>119</v>
      </c>
      <c r="T18" s="196">
        <v>110</v>
      </c>
      <c r="U18" s="196">
        <v>102</v>
      </c>
      <c r="V18" s="196">
        <v>127</v>
      </c>
      <c r="W18" s="196">
        <v>34</v>
      </c>
      <c r="X18" s="202">
        <v>72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119</v>
      </c>
      <c r="AZ18" s="139">
        <f t="shared" si="15"/>
        <v>110</v>
      </c>
      <c r="BA18" s="139">
        <f t="shared" si="15"/>
        <v>102</v>
      </c>
      <c r="BB18" s="139">
        <f t="shared" si="15"/>
        <v>127</v>
      </c>
      <c r="BC18" s="135">
        <f>IF(ISNUMBER(W18),W18," - ")</f>
        <v>34</v>
      </c>
      <c r="BD18" s="136">
        <f>IF(ISNUMBER(BA18/AZ18),BA18/AZ18," - ")</f>
        <v>0.92727272727272725</v>
      </c>
      <c r="BE18" s="137">
        <f>IF(ISNUMBER(BB18/BA18),BB18/BA18, " - ")</f>
        <v>1.2450980392156863</v>
      </c>
      <c r="BF18" s="137">
        <f>IF(ISNUMBER(BC18/BA18),BC18/BA18, " - ")</f>
        <v>0.33333333333333331</v>
      </c>
      <c r="BG18" s="209">
        <f>IF(ISNUMBER((AY18+AZ18)/BA18),(AY18+AZ18)/BA18," - ")</f>
        <v>2.2450980392156863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4002</v>
      </c>
      <c r="J23" s="197">
        <f t="shared" si="21"/>
        <v>1063</v>
      </c>
      <c r="K23" s="197">
        <f t="shared" si="21"/>
        <v>1097</v>
      </c>
      <c r="L23" s="197">
        <f t="shared" si="21"/>
        <v>3974</v>
      </c>
      <c r="M23" s="197">
        <f t="shared" si="21"/>
        <v>153</v>
      </c>
      <c r="N23" s="197">
        <f t="shared" si="21"/>
        <v>762</v>
      </c>
      <c r="O23" s="197">
        <f t="shared" si="21"/>
        <v>3</v>
      </c>
      <c r="P23" s="197">
        <f t="shared" si="21"/>
        <v>20</v>
      </c>
      <c r="Q23" s="197">
        <f t="shared" si="21"/>
        <v>13</v>
      </c>
      <c r="R23" s="197">
        <f t="shared" si="21"/>
        <v>164</v>
      </c>
      <c r="S23" s="197">
        <f t="shared" si="21"/>
        <v>3552</v>
      </c>
      <c r="T23" s="197">
        <f t="shared" si="21"/>
        <v>1158</v>
      </c>
      <c r="U23" s="197">
        <f t="shared" si="21"/>
        <v>916</v>
      </c>
      <c r="V23" s="197">
        <f t="shared" si="21"/>
        <v>3805</v>
      </c>
      <c r="W23" s="197">
        <f t="shared" si="21"/>
        <v>209</v>
      </c>
      <c r="X23" s="197">
        <f t="shared" si="21"/>
        <v>599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3552</v>
      </c>
      <c r="AZ23" s="197">
        <f>SUBTOTAL(9,AZ15:AZ22)</f>
        <v>1158</v>
      </c>
      <c r="BA23" s="197">
        <f>SUBTOTAL(9,BA15:BA22)</f>
        <v>916</v>
      </c>
      <c r="BB23" s="197">
        <f>SUBTOTAL(9,BB15:BB22)</f>
        <v>3805</v>
      </c>
      <c r="BC23" s="197">
        <f>SUBTOTAL(9,BC15:BC22)</f>
        <v>209</v>
      </c>
      <c r="BD23" s="219">
        <f>IF(ISNUMBER(BA23/AZ23),BA23/AZ23," - ")</f>
        <v>0.79101899827288424</v>
      </c>
      <c r="BE23" s="220">
        <f>IF(ISNUMBER(BB23/BA23),BB23/BA23, " - ")</f>
        <v>4.1539301310043673</v>
      </c>
      <c r="BF23" s="220">
        <f>IF(ISNUMBER(BC23/BA23),BC23/BA23, " - ")</f>
        <v>0.22816593886462883</v>
      </c>
      <c r="BG23" s="221">
        <f>IF(ISNUMBER((AY23+AZ23)/BA23),(AY23+AZ23)/BA23," - ")</f>
        <v>5.1419213973799129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11214</v>
      </c>
      <c r="J31" s="144">
        <f t="shared" si="36"/>
        <v>2357</v>
      </c>
      <c r="K31" s="144">
        <f t="shared" si="36"/>
        <v>1891</v>
      </c>
      <c r="L31" s="144">
        <f t="shared" si="36"/>
        <v>11671</v>
      </c>
      <c r="M31" s="144">
        <f t="shared" si="36"/>
        <v>449</v>
      </c>
      <c r="N31" s="144">
        <f t="shared" si="36"/>
        <v>1031</v>
      </c>
      <c r="O31" s="144">
        <f t="shared" si="36"/>
        <v>206</v>
      </c>
      <c r="P31" s="144">
        <f t="shared" si="36"/>
        <v>205</v>
      </c>
      <c r="Q31" s="144">
        <f t="shared" si="36"/>
        <v>53</v>
      </c>
      <c r="R31" s="144">
        <f t="shared" si="36"/>
        <v>6288</v>
      </c>
      <c r="S31" s="144">
        <f t="shared" si="36"/>
        <v>9755</v>
      </c>
      <c r="T31" s="144">
        <f t="shared" si="36"/>
        <v>2296</v>
      </c>
      <c r="U31" s="144">
        <f t="shared" si="36"/>
        <v>1688</v>
      </c>
      <c r="V31" s="144">
        <f t="shared" si="36"/>
        <v>10374</v>
      </c>
      <c r="W31" s="144">
        <f t="shared" si="36"/>
        <v>485</v>
      </c>
      <c r="X31" s="144">
        <f t="shared" si="36"/>
        <v>834</v>
      </c>
      <c r="Y31" s="144">
        <f t="shared" si="36"/>
        <v>122</v>
      </c>
      <c r="Z31" s="144">
        <f t="shared" si="36"/>
        <v>42</v>
      </c>
      <c r="AA31" s="144">
        <f t="shared" si="36"/>
        <v>52</v>
      </c>
      <c r="AB31" s="144">
        <f t="shared" si="36"/>
        <v>112</v>
      </c>
      <c r="AC31" s="144">
        <f t="shared" si="36"/>
        <v>0</v>
      </c>
      <c r="AD31" s="144">
        <f t="shared" si="36"/>
        <v>1</v>
      </c>
      <c r="AE31" s="144">
        <f t="shared" si="36"/>
        <v>1</v>
      </c>
      <c r="AF31" s="144">
        <f t="shared" si="36"/>
        <v>0</v>
      </c>
      <c r="AG31" s="144">
        <f t="shared" si="36"/>
        <v>88</v>
      </c>
      <c r="AH31" s="144">
        <f t="shared" si="36"/>
        <v>55</v>
      </c>
      <c r="AI31" s="144">
        <f t="shared" si="36"/>
        <v>40</v>
      </c>
      <c r="AJ31" s="144">
        <f t="shared" si="36"/>
        <v>103</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9843</v>
      </c>
      <c r="AZ31" s="144">
        <f>SUBTOTAL(9,AZ9:AZ30)</f>
        <v>2351</v>
      </c>
      <c r="BA31" s="144">
        <f>SUBTOTAL(9,BA9:BA30)</f>
        <v>1728</v>
      </c>
      <c r="BB31" s="144">
        <f>SUBTOTAL(9,BB9:BB30)</f>
        <v>10477</v>
      </c>
      <c r="BC31" s="145">
        <f>SUBTOTAL(9,BC9:BC30)</f>
        <v>444</v>
      </c>
      <c r="BD31" s="227">
        <f>IF(ISNUMBER(BA31/AZ31),BA31/AZ31," - ")</f>
        <v>0.73500638026371756</v>
      </c>
      <c r="BE31" s="224">
        <f>IF(ISNUMBER(BB31/BA31),BB31/BA31, " - ")</f>
        <v>6.0630787037037033</v>
      </c>
      <c r="BF31" s="224">
        <f>IF(ISNUMBER(BC31/BA31),BC31/BA31, " - ")</f>
        <v>0.25694444444444442</v>
      </c>
      <c r="BG31" s="145">
        <f>IF(ISNUMBER((AY31+AZ31)/BA31),(AY31+AZ31)/BA31," - ")</f>
        <v>7.0567129629629628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KAuOMZy1iggLjdoTBAOmivuP1T12W0pLolDBULhbFNfOW0IV8OWsNlDWAVBYDbiU059OmtLJmsNGGN2n5h0tA==" saltValue="twYr/Aj+sei/T9/pq8fy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WqSYwyoZZxAbdaPQVVZrp56hVd9nly8bY8SEV0uYYZtrNd7pRakP9zjQdjYUtw1iKFYxj4knrmUilKfVGUw==" saltValue="xCz6NTg+jrJIKDZmNQro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GRANADILLA DE ABONA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100</v>
      </c>
      <c r="G10" s="543">
        <f>IF(ISNUMBER(Datos!I10),Datos!I10," - ")</f>
        <v>100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0</v>
      </c>
      <c r="AD10" s="549"/>
      <c r="AE10" s="563"/>
      <c r="AF10" s="551">
        <f>IF(ISNUMBER(Datos!L10),Datos!L10,"-")</f>
        <v>93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3</v>
      </c>
      <c r="BE10" s="693" t="str">
        <f>IF(ISNUMBER(Datos!BW10),Datos!BW10," - ")</f>
        <v xml:space="preserve"> - </v>
      </c>
      <c r="BF10" s="762" t="str">
        <f>IF(ISNUMBER(Datos!BX10),Datos!BX10," - ")</f>
        <v xml:space="preserve"> - </v>
      </c>
      <c r="BG10" s="763">
        <f>IF(ISNUMBER(Datos!K10/Datos!J10),Datos!K10/Datos!J10," - ")</f>
        <v>1.3888888888888888</v>
      </c>
      <c r="BH10" s="764">
        <f>IF(ISNUMBER(((Datos!L10/Datos!K10)*11)/factor_trimestre),((Datos!L10/Datos!K10)*11)/factor_trimestre," - ")</f>
        <v>11.16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185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112</v>
      </c>
      <c r="AI12" s="549" t="str">
        <f>IF(ISNUMBER(Datos!CD12),Datos!CD12,"-")</f>
        <v>-</v>
      </c>
      <c r="AJ12" s="549" t="str">
        <f>IF(ISNUMBER(Datos!EN12),Datos!EN12," - ")</f>
        <v xml:space="preserve"> - </v>
      </c>
      <c r="AK12" s="549"/>
      <c r="AL12" s="550"/>
      <c r="AM12" s="766">
        <f>IF(ISNUMBER(Datos!R12),Datos!R12," - ")</f>
        <v>6124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281</v>
      </c>
      <c r="BD12" s="693">
        <f>IF(ISNUMBER(Datos!N12),Datos!N12," - ")</f>
        <v>266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0.62291350531107736</v>
      </c>
      <c r="BH12" s="764">
        <f>IF(ISNUMBER(((IF(J_V="SI",Datos!L12/Datos!K12,(Datos!L12+Datos!AB12)/(Datos!K12+Datos!AA12)))*11)/factor_trimestre),((IF(J_V="SI",Datos!L12/Datos!K12,(Datos!L12+Datos!AB12)/(Datos!K12+Datos!AA12)))*11)/factor_trimestre," - ")</f>
        <v>28.194884287454325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2.4251547081451746E-2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100</v>
      </c>
      <c r="G14" s="1197">
        <f t="shared" si="1"/>
        <v>100</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185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40</v>
      </c>
      <c r="AD14" s="1198">
        <f t="shared" si="2"/>
        <v>0</v>
      </c>
      <c r="AE14" s="1198">
        <f t="shared" si="2"/>
        <v>0</v>
      </c>
      <c r="AF14" s="1198">
        <f t="shared" si="2"/>
        <v>93</v>
      </c>
      <c r="AG14" s="1198">
        <f t="shared" si="2"/>
        <v>0</v>
      </c>
      <c r="AH14" s="1198">
        <f t="shared" si="2"/>
        <v>112</v>
      </c>
      <c r="AI14" s="1198">
        <f t="shared" si="2"/>
        <v>0</v>
      </c>
      <c r="AJ14" s="1198">
        <f t="shared" si="2"/>
        <v>0</v>
      </c>
      <c r="AK14" s="1198">
        <f t="shared" si="2"/>
        <v>0</v>
      </c>
      <c r="AL14" s="1198">
        <f t="shared" si="2"/>
        <v>0</v>
      </c>
      <c r="AM14" s="1198">
        <f t="shared" si="2"/>
        <v>6124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296</v>
      </c>
      <c r="BD14" s="1198">
        <f t="shared" si="2"/>
        <v>269</v>
      </c>
      <c r="BE14" s="1198">
        <f t="shared" si="2"/>
        <v>0</v>
      </c>
      <c r="BF14" s="1198">
        <f t="shared" si="2"/>
        <v>0</v>
      </c>
      <c r="BG14" s="1198">
        <f>IF(ISNUMBER(Datos!K14/Datos!J14),Datos!K14/Datos!J14," - ")</f>
        <v>0.61360123647604325</v>
      </c>
      <c r="BH14" s="1202">
        <f>IF(ISNUMBER(((Datos!L14/Datos!K14)*11)/factor_trimestre),((Datos!L14/Datos!K14)*11)/factor_trimestre," - ")</f>
        <v>29.081863979848865</v>
      </c>
      <c r="BI14" s="1198">
        <f>IF(ISNUMBER('Resol  Asuntos'!D14/NºAsuntos!G14),'Resol  Asuntos'!D14/NºAsuntos!G14," - ")</f>
        <v>0.34988179669030733</v>
      </c>
      <c r="BJ14" s="1198" t="str">
        <f>IF(ISNUMBER(Datos!CI14/Datos!CJ14),Datos!CI14/Datos!CJ14," - ")</f>
        <v xml:space="preserve"> - </v>
      </c>
      <c r="BK14" s="1198">
        <f>SUBTOTAL(9,BK8:BK13)</f>
        <v>0</v>
      </c>
      <c r="BL14" s="1198">
        <f>IF(ISNUMBER((I14-AB14+L14)/(F14)),(I14-AB14+L14)/(F14)," - ")</f>
        <v>-0.25</v>
      </c>
      <c r="BM14" s="1203">
        <f>SUBTOTAL(9,BM9:BM13)</f>
        <v>2.4251547081451746E-2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3879</v>
      </c>
      <c r="G17" s="743">
        <f>IF(ISNUMBER(IF(D_I="SI",Datos!I17,Datos!I17+Datos!AC17)),IF(D_I="SI",Datos!I17,Datos!I17+Datos!AC17)," - ")</f>
        <v>3873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1013</v>
      </c>
      <c r="AC17" s="240">
        <f>IF(ISNUMBER(Datos!Q17),Datos!Q17," - ")</f>
        <v>13</v>
      </c>
      <c r="AD17" s="374"/>
      <c r="AE17" s="562"/>
      <c r="AF17" s="741">
        <f>IF(ISNUMBER(IF(D_I="SI",Datos!L17,Datos!L17+Datos!AF17)),IF(D_I="SI",Datos!L17,Datos!L17+Datos!AF17)," - ")</f>
        <v>3832</v>
      </c>
      <c r="AG17" s="374"/>
      <c r="AH17" s="374"/>
      <c r="AI17" s="374"/>
      <c r="AJ17" s="549"/>
      <c r="AK17" s="374"/>
      <c r="AL17" s="545"/>
      <c r="AM17" s="375">
        <f>IF(ISNUMBER(Datos!R17),Datos!R17," - ")</f>
        <v>145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136</v>
      </c>
      <c r="BD17" s="243">
        <f>IF(ISNUMBER(Datos!N17),Datos!N17," - ")</f>
        <v>704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1.0486542443064182</v>
      </c>
      <c r="BH17" s="764">
        <f>IF(ISNUMBER(((IF(D_I="SI",Datos!L17/Datos!K17,(Datos!L17+Datos!AF17)/(Datos!K17+Datos!AE17)))*11)/factor_trimestre),((IF(D_I="SI",Datos!L17/Datos!K17,(Datos!L17+Datos!AF17)/(Datos!K17+Datos!AE17)))*11)/factor_trimestre," - ")</f>
        <v>11.34846989141165</v>
      </c>
      <c r="BI17" s="266">
        <f>IF(ISNUMBER('Resol  Asuntos'!D17/NºAsuntos!G17),'Resol  Asuntos'!D17/NºAsuntos!G17," - ")</f>
        <v>0.13425468904244817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84</v>
      </c>
      <c r="AC18" s="547">
        <f>IF(ISNUMBER(Datos!Q18),Datos!Q18," - ")</f>
        <v>0</v>
      </c>
      <c r="AD18" s="549"/>
      <c r="AE18" s="562"/>
      <c r="AF18" s="551">
        <f>IF(ISNUMBER(Datos!L18),Datos!L18,"-")</f>
        <v>142</v>
      </c>
      <c r="AG18" s="549"/>
      <c r="AH18" s="549"/>
      <c r="AI18" s="549"/>
      <c r="AJ18" s="549"/>
      <c r="AK18" s="549"/>
      <c r="AL18" s="550"/>
      <c r="AM18" s="766">
        <f>IF(ISNUMBER(Datos!R18),Datos!R18," - ")</f>
        <v>19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0.865979381443299</v>
      </c>
      <c r="BH18" s="764">
        <f>IF(ISNUMBER(((IF(D_I="SI",Datos!L18/Datos!K18,(Datos!L18+Datos!AF18)/(Datos!K18+Datos!AE18)))*11)/factor_trimestre),((IF(D_I="SI",Datos!L18/Datos!K18,(Datos!L18+Datos!AF18)/(Datos!K18+Datos!AE18)))*11)/factor_trimestre," - ")</f>
        <v>5.0714285714285712</v>
      </c>
      <c r="BI18" s="763">
        <f>IF(ISNUMBER('Resol  Asuntos'!D18/NºAsuntos!G18),'Resol  Asuntos'!D18/NºAsuntos!G18," - ")</f>
        <v>0.20238095238095238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3879</v>
      </c>
      <c r="G23" s="1197">
        <f>SUBTOTAL(9,G16:G22)</f>
        <v>4002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1097</v>
      </c>
      <c r="AC23" s="1198">
        <f t="shared" si="5"/>
        <v>13</v>
      </c>
      <c r="AD23" s="1198">
        <f t="shared" si="5"/>
        <v>0</v>
      </c>
      <c r="AE23" s="1198">
        <f t="shared" si="5"/>
        <v>0</v>
      </c>
      <c r="AF23" s="1198">
        <f t="shared" si="5"/>
        <v>3974</v>
      </c>
      <c r="AG23" s="1198">
        <f t="shared" si="5"/>
        <v>0</v>
      </c>
      <c r="AH23" s="1198">
        <f t="shared" si="5"/>
        <v>0</v>
      </c>
      <c r="AI23" s="1198">
        <f t="shared" si="5"/>
        <v>0</v>
      </c>
      <c r="AJ23" s="1198">
        <f t="shared" si="5"/>
        <v>0</v>
      </c>
      <c r="AK23" s="1198">
        <f t="shared" si="5"/>
        <v>0</v>
      </c>
      <c r="AL23" s="1198">
        <f t="shared" si="5"/>
        <v>0</v>
      </c>
      <c r="AM23" s="1198">
        <f t="shared" si="5"/>
        <v>164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153</v>
      </c>
      <c r="BD23" s="1198">
        <f t="shared" si="5"/>
        <v>762</v>
      </c>
      <c r="BE23" s="1198">
        <f t="shared" si="5"/>
        <v>0</v>
      </c>
      <c r="BF23" s="1198">
        <f t="shared" si="5"/>
        <v>0</v>
      </c>
      <c r="BG23" s="1198">
        <f>IF(ISNUMBER(Datos!K23/Datos!J23),Datos!K23/Datos!J23," - ")</f>
        <v>1.0319849482596426</v>
      </c>
      <c r="BH23" s="1202">
        <f>IF(ISNUMBER(((Datos!L23/Datos!K23)*11)/factor_trimestre),((Datos!L23/Datos!K23)*11)/factor_trimestre," - ")</f>
        <v>10.86782133090246</v>
      </c>
      <c r="BI23" s="1198">
        <f>SUBTOTAL(9,BI16:BI22)</f>
        <v>0.33663564142340052</v>
      </c>
      <c r="BJ23" s="1198">
        <f>SUBTOTAL(9,BJ16:BJ22)</f>
        <v>0</v>
      </c>
      <c r="BK23" s="1198">
        <f>SUBTOTAL(9,BK16:BK22)</f>
        <v>0</v>
      </c>
      <c r="BL23" s="1198">
        <f>IF(ISNUMBER((I23-AB23+L23)/(F23)),(I23-AB23+L23)/(F23)," - ")</f>
        <v>-0.28280484660995103</v>
      </c>
      <c r="BM23" s="1205">
        <f>IF(ISNUMBER((Datos!P23-Datos!Q23)/(Datos!R23-Datos!P23+Datos!Q23)),(Datos!P23-Datos!Q23)/(Datos!R23-Datos!P23+Datos!Q23)," - ")</f>
        <v>4.4585987261146494E-2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3979</v>
      </c>
      <c r="G31" s="1117">
        <f t="shared" si="18"/>
        <v>4102</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205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1122</v>
      </c>
      <c r="AC31" s="1118">
        <f t="shared" si="19"/>
        <v>53</v>
      </c>
      <c r="AD31" s="1118">
        <f t="shared" si="19"/>
        <v>0</v>
      </c>
      <c r="AE31" s="1118">
        <f t="shared" si="19"/>
        <v>0</v>
      </c>
      <c r="AF31" s="1125">
        <f t="shared" si="19"/>
        <v>4067</v>
      </c>
      <c r="AG31" s="1125">
        <f t="shared" si="19"/>
        <v>0</v>
      </c>
      <c r="AH31" s="1125">
        <f t="shared" si="19"/>
        <v>112</v>
      </c>
      <c r="AI31" s="1125">
        <f t="shared" si="19"/>
        <v>0</v>
      </c>
      <c r="AJ31" s="1118">
        <f t="shared" si="19"/>
        <v>0</v>
      </c>
      <c r="AK31" s="1125">
        <f t="shared" si="19"/>
        <v>0</v>
      </c>
      <c r="AL31" s="1125">
        <f t="shared" si="19"/>
        <v>0</v>
      </c>
      <c r="AM31" s="1125">
        <f t="shared" si="19"/>
        <v>6288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449</v>
      </c>
      <c r="BD31" s="1117">
        <f t="shared" si="19"/>
        <v>1031</v>
      </c>
      <c r="BE31" s="1117">
        <f t="shared" si="19"/>
        <v>0</v>
      </c>
      <c r="BF31" s="1127">
        <f t="shared" si="19"/>
        <v>0</v>
      </c>
      <c r="BG31" s="1223">
        <f>IF(ISNUMBER(Datos!K31/Datos!J31),Datos!K31/Datos!J31," - ")</f>
        <v>0.80229104794229955</v>
      </c>
      <c r="BH31" s="1223">
        <f>IF(ISNUMBER(((Datos!L31/Datos!K31)*11)/factor_trimestre),((Datos!L31/Datos!K31)*11)/factor_trimestre," - ")</f>
        <v>18.515600211528294</v>
      </c>
      <c r="BI31" s="1103">
        <f>IF(ISNUMBER(Datos!J31/Datos!I31),Datos!J31/Datos!I31," - ")</f>
        <v>0.21018369894774389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-0.28198039708469463</v>
      </c>
      <c r="BM31" s="1188">
        <f>IF(ISNUMBER((Datos!P31-Datos!Q31+R31)/(Datos!R31-Datos!P31+Datos!Q31-R31)),(Datos!P31-Datos!Q31+R31)/(Datos!R31-Datos!P31+Datos!Q31-R31)," - ")</f>
        <v>2.4771838331160364E-2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1977.7927764724664</v>
      </c>
      <c r="G33" s="674">
        <f>IF(ISNUMBER(STDEV(G8:G30)),STDEV(G8:G30),"-")</f>
        <v>1890.2242371387229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503.07748148863948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124.32417303163533</v>
      </c>
      <c r="BD33" s="673"/>
      <c r="BE33" s="673">
        <f>IF(ISNUMBER(STDEV(BE8:BE30)),STDEV(BE8:BE30),"-")</f>
        <v>0</v>
      </c>
      <c r="BF33" s="678">
        <f>IF(ISNUMBER(STDEV(BF8:BF30)),STDEV(BF8:BF30),"-")</f>
        <v>0</v>
      </c>
      <c r="BG33" s="1052">
        <f>IF(ISNUMBER(STDEV(BG8:BG30)),STDEV(BG8:BG30),"-")</f>
        <v>0.29446802765427083</v>
      </c>
      <c r="BH33" s="1058">
        <f>IF(ISNUMBER(STDEV(BH8:BH30)),STDEV(BH8:BH30),"-")</f>
        <v>10.106166223734911</v>
      </c>
      <c r="BI33" s="273">
        <f>IF(ISNUMBER(STDEV(BI8:BI30)),STDEV(BI8:BI30),"-")</f>
        <v>0.10490097251967466</v>
      </c>
      <c r="BJ33" s="244" t="str">
        <f>IF(ISNUMBER(BL33/BM33),BL33/BM33," - ")</f>
        <v xml:space="preserve"> - </v>
      </c>
      <c r="BK33" s="709"/>
      <c r="BL33" s="681">
        <f>IF(ISNUMBER(STDEV(BL8:BL30)),STDEV(BL8:BL30),"-")</f>
        <v>2.3196529493680902E-2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8D0j8NnKqJygtb04wPHRas+fYW2e5o3/b6Su1P3FGvOV9ZNf8C1PyyBvrakBKtNgctQe9dOFnBhZWltjX2vMg==" saltValue="r21zW7Jz0D0Ws1xghavH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GRANADILLA DE ABONA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100</v>
      </c>
      <c r="G10" s="552">
        <f>IF(ISNUMBER(Datos!I10),Datos!I10," - ")</f>
        <v>100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0</v>
      </c>
      <c r="AA10" s="551">
        <f>IF(ISNUMBER(Datos!L10),Datos!L10,"-")</f>
        <v>93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11.16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6124</v>
      </c>
      <c r="AF12" s="693" t="str">
        <f>IF(ISNUMBER(Datos!BV12),Datos!BV12," - ")</f>
        <v xml:space="preserve"> - </v>
      </c>
      <c r="AG12" s="552" t="str">
        <f>IF(ISNUMBER(Datos!DV12),Datos!DV12," - ")</f>
        <v xml:space="preserve"> - </v>
      </c>
      <c r="AH12" s="553"/>
      <c r="AI12" s="554"/>
      <c r="AJ12" s="552">
        <f>IF(ISNUMBER(Datos!M12),Datos!M12," - ")</f>
        <v>281</v>
      </c>
      <c r="AK12" s="693">
        <f>IF(ISNUMBER(Datos!N12),Datos!N12," - ")</f>
        <v>266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28.194884287454325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2.4251547081451746E-2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100</v>
      </c>
      <c r="G14" s="1197">
        <f>SUBTOTAL(9,G8:G13)</f>
        <v>100</v>
      </c>
      <c r="H14" s="1211"/>
      <c r="I14" s="1197">
        <f t="shared" ref="I14:N14" si="1">SUBTOTAL(9,I8:I13)</f>
        <v>0</v>
      </c>
      <c r="J14" s="1164">
        <f t="shared" si="1"/>
        <v>0</v>
      </c>
      <c r="K14" s="1211">
        <f t="shared" si="1"/>
        <v>0</v>
      </c>
      <c r="L14" s="1211">
        <f t="shared" si="1"/>
        <v>0</v>
      </c>
      <c r="M14" s="1211">
        <f t="shared" si="1"/>
        <v>0</v>
      </c>
      <c r="N14" s="1211">
        <f t="shared" si="1"/>
        <v>185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40</v>
      </c>
      <c r="AA14" s="1199">
        <f t="shared" si="3"/>
        <v>93</v>
      </c>
      <c r="AB14" s="1199">
        <f t="shared" si="3"/>
        <v>0</v>
      </c>
      <c r="AC14" s="1199">
        <f t="shared" si="3"/>
        <v>0</v>
      </c>
      <c r="AD14" s="1199">
        <f t="shared" si="3"/>
        <v>0</v>
      </c>
      <c r="AE14" s="1199">
        <f t="shared" si="3"/>
        <v>6124</v>
      </c>
      <c r="AF14" s="1211">
        <f t="shared" si="3"/>
        <v>0</v>
      </c>
      <c r="AG14" s="1211">
        <f t="shared" si="3"/>
        <v>0</v>
      </c>
      <c r="AH14" s="1211">
        <f t="shared" si="3"/>
        <v>0</v>
      </c>
      <c r="AI14" s="1211">
        <f t="shared" si="3"/>
        <v>0</v>
      </c>
      <c r="AJ14" s="1211">
        <f t="shared" si="3"/>
        <v>296</v>
      </c>
      <c r="AK14" s="1211">
        <f t="shared" si="3"/>
        <v>269</v>
      </c>
      <c r="AL14" s="1211">
        <f t="shared" si="3"/>
        <v>0</v>
      </c>
      <c r="AM14" s="1211">
        <f t="shared" si="3"/>
        <v>0</v>
      </c>
      <c r="AN14" s="1211">
        <f t="shared" si="3"/>
        <v>0</v>
      </c>
      <c r="AO14" s="1203">
        <f>IF(ISNUMBER(((NºAsuntos!I14/NºAsuntos!G14)*11)/factor_trimestre),((NºAsuntos!I14/NºAsuntos!G14)*11)/factor_trimestre," - ")</f>
        <v>27.691489361702128</v>
      </c>
      <c r="AP14" s="1213" t="str">
        <f>IF(ISNUMBER(Datos!CI14/Datos!CJ14),Datos!CI14/Datos!CJ14," - ")</f>
        <v xml:space="preserve"> - </v>
      </c>
      <c r="AQ14" s="1236">
        <f t="shared" ref="AQ14:AV14" si="4">SUBTOTAL(9,AQ9:AQ13)</f>
        <v>0</v>
      </c>
      <c r="AR14" s="1236">
        <f t="shared" si="4"/>
        <v>2.4251547081451746E-2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3879</v>
      </c>
      <c r="G17" s="552">
        <f>IF(ISNUMBER(IF(D_I="SI",Datos!I17,Datos!I17+Datos!AC17)),IF(D_I="SI",Datos!I17,Datos!I17+Datos!AC17)," - ")</f>
        <v>3873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1013</v>
      </c>
      <c r="Z17" s="805">
        <f>IF(ISNUMBER(Datos!Q17),Datos!Q17," - ")</f>
        <v>13</v>
      </c>
      <c r="AA17" s="551">
        <f>IF(ISNUMBER(IF(D_I="SI",Datos!L17,Datos!L17+Datos!AF17)),IF(D_I="SI",Datos!L17,Datos!L17+Datos!AF17)," - ")</f>
        <v>3832</v>
      </c>
      <c r="AB17" s="549"/>
      <c r="AC17" s="549"/>
      <c r="AD17" s="563"/>
      <c r="AE17" s="563">
        <f>IF(ISNUMBER(Datos!R17),Datos!R17," - ")</f>
        <v>145</v>
      </c>
      <c r="AF17" s="693" t="str">
        <f>IF(ISNUMBER(Datos!BV17),Datos!BV17," - ")</f>
        <v xml:space="preserve"> - </v>
      </c>
      <c r="AG17" s="552"/>
      <c r="AH17" s="553"/>
      <c r="AI17" s="554"/>
      <c r="AJ17" s="552">
        <f>IF(ISNUMBER(Datos!M17),Datos!M17," - ")</f>
        <v>136</v>
      </c>
      <c r="AK17" s="693">
        <f>IF(ISNUMBER(Datos!N17),Datos!N17," - ")</f>
        <v>704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11.34846989141165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84</v>
      </c>
      <c r="Z18" s="805">
        <f>IF(ISNUMBER(Datos!Q18),Datos!Q18," - ")</f>
        <v>0</v>
      </c>
      <c r="AA18" s="551">
        <f>IF(ISNUMBER(Datos!L18),Datos!L18,"-")</f>
        <v>142</v>
      </c>
      <c r="AB18" s="549"/>
      <c r="AC18" s="549"/>
      <c r="AD18" s="563"/>
      <c r="AE18" s="563">
        <f>IF(ISNUMBER(Datos!R18),Datos!R18," - ")</f>
        <v>19</v>
      </c>
      <c r="AF18" s="693" t="str">
        <f>IF(ISNUMBER(Datos!BV18),Datos!BV18," - ")</f>
        <v xml:space="preserve"> - </v>
      </c>
      <c r="AG18" s="552" t="str">
        <f>IF(ISNUMBER(Datos!DV18),Datos!DV18," - ")</f>
        <v xml:space="preserve"> - </v>
      </c>
      <c r="AH18" s="553"/>
      <c r="AI18" s="554"/>
      <c r="AJ18" s="552">
        <f>IF(ISNUMBER(Datos!M18),Datos!M18," - ")</f>
        <v>17</v>
      </c>
      <c r="AK18" s="693">
        <f>IF(ISNUMBER(Datos!N18),Datos!N18," - ")</f>
        <v>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5.0714285714285712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3879</v>
      </c>
      <c r="G23" s="1197">
        <f>SUBTOTAL(9,G16:G22)</f>
        <v>4002</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1097</v>
      </c>
      <c r="Z23" s="1240">
        <f t="shared" si="6"/>
        <v>13</v>
      </c>
      <c r="AA23" s="1240">
        <f t="shared" si="6"/>
        <v>3974</v>
      </c>
      <c r="AB23" s="1240">
        <f t="shared" si="6"/>
        <v>0</v>
      </c>
      <c r="AC23" s="1240">
        <f t="shared" si="6"/>
        <v>0</v>
      </c>
      <c r="AD23" s="1240">
        <f t="shared" si="6"/>
        <v>0</v>
      </c>
      <c r="AE23" s="1240">
        <f t="shared" si="6"/>
        <v>164</v>
      </c>
      <c r="AF23" s="1240">
        <f t="shared" si="6"/>
        <v>0</v>
      </c>
      <c r="AG23" s="1240">
        <f t="shared" si="6"/>
        <v>0</v>
      </c>
      <c r="AH23" s="1240">
        <f t="shared" si="6"/>
        <v>0</v>
      </c>
      <c r="AI23" s="1240">
        <f t="shared" si="6"/>
        <v>0</v>
      </c>
      <c r="AJ23" s="1240">
        <f t="shared" si="6"/>
        <v>153</v>
      </c>
      <c r="AK23" s="1240">
        <f t="shared" si="6"/>
        <v>762</v>
      </c>
      <c r="AL23" s="1240">
        <f t="shared" si="6"/>
        <v>0</v>
      </c>
      <c r="AM23" s="1240">
        <f t="shared" si="6"/>
        <v>0</v>
      </c>
      <c r="AN23" s="1240">
        <f t="shared" si="6"/>
        <v>0</v>
      </c>
      <c r="AO23" s="1242">
        <f>IF(ISNUMBER(((NºAsuntos!I23/NºAsuntos!G23)*11)/factor_trimestre),((NºAsuntos!I23/NºAsuntos!G23)*11)/factor_trimestre," - ")</f>
        <v>10.86782133090246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3979</v>
      </c>
      <c r="G31" s="1117">
        <f t="shared" si="12"/>
        <v>4102</v>
      </c>
      <c r="H31" s="1118">
        <f t="shared" si="12"/>
        <v>0</v>
      </c>
      <c r="I31" s="1117">
        <f t="shared" si="12"/>
        <v>0</v>
      </c>
      <c r="J31" s="1119">
        <f t="shared" si="12"/>
        <v>0</v>
      </c>
      <c r="K31" s="1117">
        <f t="shared" si="12"/>
        <v>0</v>
      </c>
      <c r="L31" s="1120">
        <f t="shared" si="12"/>
        <v>0</v>
      </c>
      <c r="M31" s="1117">
        <f t="shared" si="12"/>
        <v>0</v>
      </c>
      <c r="N31" s="1118">
        <f t="shared" si="12"/>
        <v>205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1122</v>
      </c>
      <c r="Z31" s="1124">
        <f t="shared" si="13"/>
        <v>53</v>
      </c>
      <c r="AA31" s="1125">
        <f t="shared" si="13"/>
        <v>4067</v>
      </c>
      <c r="AB31" s="1125">
        <f t="shared" si="13"/>
        <v>0</v>
      </c>
      <c r="AC31" s="1125">
        <f t="shared" si="13"/>
        <v>0</v>
      </c>
      <c r="AD31" s="1126">
        <f t="shared" si="13"/>
        <v>0</v>
      </c>
      <c r="AE31" s="1126">
        <f t="shared" si="13"/>
        <v>6288</v>
      </c>
      <c r="AF31" s="1127">
        <f t="shared" si="13"/>
        <v>0</v>
      </c>
      <c r="AG31" s="1128">
        <f t="shared" si="13"/>
        <v>0</v>
      </c>
      <c r="AH31" s="1129">
        <f t="shared" si="13"/>
        <v>0</v>
      </c>
      <c r="AI31" s="1127">
        <f t="shared" si="13"/>
        <v>0</v>
      </c>
      <c r="AJ31" s="1117">
        <f t="shared" si="13"/>
        <v>449</v>
      </c>
      <c r="AK31" s="1117">
        <f t="shared" si="13"/>
        <v>1031</v>
      </c>
      <c r="AL31" s="1117">
        <f t="shared" si="13"/>
        <v>0</v>
      </c>
      <c r="AM31" s="1130">
        <f t="shared" si="13"/>
        <v>0</v>
      </c>
      <c r="AN31" s="1120">
        <f>IF(ISNUMBER(Datos!K31/Datos!J31),Datos!K31/Datos!J31," - ")</f>
        <v>0.80229104794229955</v>
      </c>
      <c r="AO31" s="1120">
        <f>IF(ISNUMBER(FIND("06",Criterios!A8,1)),(IF(ISNUMBER(((Datos!R31/Datos!Q31)*11)/factor_trimestre),((Datos!R31/Datos!Q31)*11)/factor_trimestre," - ")),(IF(ISNUMBER(((Datos!L31/Datos!K31)*11)/factor_trimestre),((Datos!L31/Datos!K31)*11)/factor_trimestre," - ")))</f>
        <v>18.515600211528294</v>
      </c>
      <c r="AP31" s="1131" t="str">
        <f>IF(ISNUMBER(Datos!CI31/Datos!CJ31),Datos!CI31/Datos!CJ31," - ")</f>
        <v xml:space="preserve"> - </v>
      </c>
      <c r="AQ31" s="1131">
        <f>IF(OR(ISNUMBER(FIND("01",Criterios!A8,1)),ISNUMBER(FIND("02",Criterios!A8,1)),ISNUMBER(FIND("03",Criterios!A8,1)),ISNUMBER(FIND("04",Criterios!A8,1))),(J31-Y31+K31)/(F31-K31),(I31-Y31+K31)/(F31-K31))</f>
        <v>-0.28198039708469463</v>
      </c>
      <c r="AR31" s="1131">
        <f>IF(ISNUMBER((Datos!P31-Datos!Q31+O31)/(Datos!R31-Datos!P31+Datos!Q31-O31)),(Datos!P31-Datos!Q31+O31)/(Datos!R31-Datos!P31+Datos!Q31-O31)," - ")</f>
        <v>2.4771838331160364E-2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1977.7927764724664</v>
      </c>
      <c r="G33" s="674">
        <f>IF(ISNUMBER(STDEV(G8:G30)),STDEV(G8:G30),"-")</f>
        <v>1890.2242371387229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124.32417303163533</v>
      </c>
      <c r="AK33" s="276"/>
      <c r="AL33" s="276">
        <f>IF(ISNUMBER(STDEV(AL8:AL30)),STDEV(AL8:AL30),"-")</f>
        <v>0</v>
      </c>
      <c r="AM33" s="278">
        <f>IF(ISNUMBER(STDEV(AM8:AM30)),STDEV(AM8:AM30),"-")</f>
        <v>0</v>
      </c>
      <c r="AN33" s="660">
        <f>IF(ISNUMBER(STDEV(AN8:AN30)),STDEV(AN8:AN30),"-")</f>
        <v>0</v>
      </c>
      <c r="AO33" s="661">
        <f>IF(ISNUMBER(STDEV(AO8:AO30)),STDEV(AO8:AO30),"-")</f>
        <v>9.7547818962297725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6nCtync9VsTLXfx0A9oZ7zNcEf8WnmnhQX7i/H+XZ/v09gvRHAns9vQcuJ1lS/ZmukSbSFgOA160R4tGVqu9w==" saltValue="9WT908Y3f5umUeCWXgYQ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vTiwxBSvcKkw9+75Mq4NFgezTUsiPAtyHM223+kKJvNd9s7F6xi7A4Z9acsCtaspegwk6AIBEzk2vo9eVpg8Q==" saltValue="UG67uoHRetkHcsLdchTH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5dlgj+T2qEXKkZRnaCQbBu4mCz4UxpfQUPe25ekyvRKitwX4Cs2dytVKDgMhaDswE7orrBPyISh0DQ4A6pmgA==" saltValue="Vps0r0R0yVkwTwgXLaSb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GRANADILLA DE ABONA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0.34988179669030733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0.24740379105344926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qxeqfI9otm9+Py7tseKYsUhGCCFeTF/BGe1AWi/vBI39swDap3ihcUPJ37uh9Ajl8wLFEe+tclMratdkHAqnw==" saltValue="PRcnBOzdJWgVXHDCEg24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yuJ8Vt8or0Ysxqfd+PWg4fY595rIouuE8XLNdMiWHbWabzHxSrjtaz2eRzcGIyMiILpeTXue9zSVGbdTqOnEw==" saltValue="7bK93/LxF7Ug5vpcr/sq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GRANADILLA DE ABONA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100</v>
      </c>
      <c r="D10" s="452">
        <f>IF(ISNUMBER(C10/Datos!BH10),C10/Datos!BH10," - ")</f>
        <v>100</v>
      </c>
      <c r="E10" s="451">
        <f>IF(ISNUMBER(Datos!J10),Datos!J10," - ")</f>
        <v>18</v>
      </c>
      <c r="F10" s="452">
        <f>IF(ISNUMBER(E10/B10),E10/B10," - ")</f>
        <v>18</v>
      </c>
      <c r="G10" s="451">
        <f>IF(ISNUMBER(Datos!K10),Datos!K10," - ")</f>
        <v>25</v>
      </c>
      <c r="H10" s="452">
        <f>IF(ISNUMBER(G10/B10),G10/B10," - ")</f>
        <v>25</v>
      </c>
      <c r="I10" s="451">
        <f>IF(ISNUMBER(Datos!L10),Datos!L10," - ")</f>
        <v>93</v>
      </c>
      <c r="J10" s="452">
        <f>IF(ISNUMBER(I10/B10),I10/B10," - ")</f>
        <v>93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7234</v>
      </c>
      <c r="D12" s="452">
        <f>IF(ISNUMBER(C12/Datos!BH12),C12/Datos!BH12," - ")</f>
        <v>1808.5</v>
      </c>
      <c r="E12" s="451">
        <f>IF(ISNUMBER(IF(J_V="SI",Datos!J12,Datos!J12+Datos!Z12)),IF(J_V="SI",Datos!J12,Datos!J12+Datos!Z12)," - ")</f>
        <v>1318</v>
      </c>
      <c r="F12" s="452">
        <f>IF(ISNUMBER(E12/B12),E12/B12," - ")</f>
        <v>329.5</v>
      </c>
      <c r="G12" s="451">
        <f>IF(ISNUMBER(IF(J_V="SI",Datos!K12,Datos!K12+Datos!AA12)),IF(J_V="SI",Datos!K12,Datos!K12+Datos!AA12)," - ")</f>
        <v>821</v>
      </c>
      <c r="H12" s="452">
        <f>IF(ISNUMBER(G12/B12),G12/B12," - ")</f>
        <v>205.25</v>
      </c>
      <c r="I12" s="451">
        <f>IF(ISNUMBER(IF(J_V="SI",Datos!L12,Datos!L12+Datos!AB12)),IF(J_V="SI",Datos!L12,Datos!L12+Datos!AB12)," - ")</f>
        <v>7716</v>
      </c>
      <c r="J12" s="452">
        <f>IF(ISNUMBER(I12/B12),I12/B12," - ")</f>
        <v>1929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7334</v>
      </c>
      <c r="D14" s="1147" t="str">
        <f>IF(ISNUMBER(C14/Datos!BI14),C14/Datos!BI14," - ")</f>
        <v xml:space="preserve"> - </v>
      </c>
      <c r="E14" s="1146">
        <f>SUBTOTAL(9,E8:E13)</f>
        <v>1336</v>
      </c>
      <c r="F14" s="1147">
        <f>IF(ISNUMBER(E14/B14),E14/B14," - ")</f>
        <v>334</v>
      </c>
      <c r="G14" s="1146">
        <f>SUBTOTAL(9,G8:G13)</f>
        <v>846</v>
      </c>
      <c r="H14" s="1147">
        <f>IF(ISNUMBER(G14/B14),G14/B14," - ")</f>
        <v>211.5</v>
      </c>
      <c r="I14" s="1146">
        <f>SUBTOTAL(9,I8:I13)</f>
        <v>7809</v>
      </c>
      <c r="J14" s="1147">
        <f>IF(ISNUMBER(I14/B14),I14/B14," - ")</f>
        <v>1952.25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3873</v>
      </c>
      <c r="D17" s="452">
        <f>IF(ISNUMBER(C17/Datos!BH17),C17/Datos!BH17," - ")</f>
        <v>968.25</v>
      </c>
      <c r="E17" s="451">
        <f>IF(ISNUMBER(IF(D_I="SI",Datos!J17,Datos!J17+Datos!AD17)),IF(D_I="SI",Datos!J17,Datos!J17+Datos!AD17)," - ")</f>
        <v>966</v>
      </c>
      <c r="F17" s="452">
        <f>IF(ISNUMBER(E17/B17),E17/B17," - ")</f>
        <v>241.5</v>
      </c>
      <c r="G17" s="451">
        <f>IF(ISNUMBER(IF(D_I="SI",Datos!K17,Datos!K17+Datos!AE17)),IF(D_I="SI",Datos!K17,Datos!K17+Datos!AE17)," - ")</f>
        <v>1013</v>
      </c>
      <c r="H17" s="452">
        <f>IF(ISNUMBER(G17/B17),G17/B17," - ")</f>
        <v>253.25</v>
      </c>
      <c r="I17" s="451">
        <f>IF(ISNUMBER(IF(D_I="SI",Datos!L17,Datos!L17+Datos!AF17)),IF(D_I="SI",Datos!L17,Datos!L17+Datos!AF17)," - ")</f>
        <v>3832</v>
      </c>
      <c r="J17" s="452">
        <f>IF(ISNUMBER(I17/B17),I17/B17," - ")</f>
        <v>958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129</v>
      </c>
      <c r="D18" s="452">
        <f>IF(ISNUMBER(C18/Datos!BH18),C18/Datos!BH18," - ")</f>
        <v>129</v>
      </c>
      <c r="E18" s="451">
        <f>IF(ISNUMBER(IF(D_I="SI",Datos!J18,Datos!J18+Datos!AD18)),IF(D_I="SI",Datos!J18,Datos!J18+Datos!AD18)," - ")</f>
        <v>97</v>
      </c>
      <c r="F18" s="452">
        <f>IF(ISNUMBER(E18/B18),E18/B18," - ")</f>
        <v>97</v>
      </c>
      <c r="G18" s="451">
        <f>IF(ISNUMBER(IF(D_I="SI",Datos!K18,Datos!K18+Datos!AE18)),IF(D_I="SI",Datos!K18,Datos!K18+Datos!AE18)," - ")</f>
        <v>84</v>
      </c>
      <c r="H18" s="452">
        <f>IF(ISNUMBER(G18/B18),G18/B18," - ")</f>
        <v>84</v>
      </c>
      <c r="I18" s="451">
        <f>IF(ISNUMBER(IF(D_I="SI",Datos!L18,Datos!L18+Datos!AF18)),IF(D_I="SI",Datos!L18,Datos!L18+Datos!AF18)," - ")</f>
        <v>142</v>
      </c>
      <c r="J18" s="452">
        <f>IF(ISNUMBER(I18/B18),I18/B18," - ")</f>
        <v>142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4002</v>
      </c>
      <c r="D23" s="1147" t="str">
        <f>IF(ISNUMBER(C23/Datos!BI23),C23/Datos!BI23," - ")</f>
        <v xml:space="preserve"> - </v>
      </c>
      <c r="E23" s="1146">
        <f>SUBTOTAL(9,E15:E22)</f>
        <v>1063</v>
      </c>
      <c r="F23" s="1147">
        <f>IF(ISNUMBER(E23/B23),E23/B23," - ")</f>
        <v>265.75</v>
      </c>
      <c r="G23" s="1146">
        <f>SUBTOTAL(9,G15:G22)</f>
        <v>1097</v>
      </c>
      <c r="H23" s="1147">
        <f>IF(ISNUMBER(G23/B23),G23/B23," - ")</f>
        <v>274.25</v>
      </c>
      <c r="I23" s="1146">
        <f>SUBTOTAL(9,I15:I22)</f>
        <v>3974</v>
      </c>
      <c r="J23" s="1147">
        <f>IF(ISNUMBER(I23/B23),I23/B23," - ")</f>
        <v>993.5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11336</v>
      </c>
      <c r="D31" s="1085" t="str">
        <f>IF(ISNUMBER(C31/Datos!BI31),C31/Datos!BI31," - ")</f>
        <v xml:space="preserve"> - </v>
      </c>
      <c r="E31" s="1084">
        <f>SUBTOTAL(9,E9:E30)</f>
        <v>2399</v>
      </c>
      <c r="F31" s="1085">
        <f>IF(ISNUMBER(E31/B31),E31/B31," - ")</f>
        <v>599.75</v>
      </c>
      <c r="G31" s="1084">
        <f>SUBTOTAL(9,G9:G30)</f>
        <v>1943</v>
      </c>
      <c r="H31" s="1085">
        <f>IF(ISNUMBER(G31/B31),G31/B31," - ")</f>
        <v>485.75</v>
      </c>
      <c r="I31" s="1084">
        <f>SUBTOTAL(9,I9:I30)</f>
        <v>11783</v>
      </c>
      <c r="J31" s="1085">
        <f>IF(ISNUMBER(I31/B31),I31/B31," - ")</f>
        <v>2945.75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8rKnkDKaT99ZrlEGw43pds/x4uwENd0TJZTxSRotpcza2HM1MmM2C2Zl5fpTrM6gxv2qWDNdUAsgWVV1pU+AQ==" saltValue="4emWCwYKmeqHJYexY608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GRANADILLA DE ABONA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100</v>
      </c>
      <c r="G10" s="906">
        <f>IF(ISNUMBER(Datos!I10),Datos!I10," - ")</f>
        <v>100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93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11.16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281</v>
      </c>
      <c r="AM12" s="914">
        <f>IF(ISNUMBER(Datos!N12+DatosP!N17),Datos!N12+DatosP!N17," - ")</f>
        <v>266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28.194884287454325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2.4251547081451746E-2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100</v>
      </c>
      <c r="G14" s="1256">
        <f t="shared" si="0"/>
        <v>100</v>
      </c>
      <c r="H14" s="1256">
        <f t="shared" si="0"/>
        <v>0</v>
      </c>
      <c r="I14" s="1258">
        <f t="shared" si="0"/>
        <v>0</v>
      </c>
      <c r="J14" s="1257">
        <f t="shared" si="0"/>
        <v>0</v>
      </c>
      <c r="K14" s="1257">
        <f t="shared" si="0"/>
        <v>0</v>
      </c>
      <c r="L14" s="1259">
        <f t="shared" si="0"/>
        <v>0</v>
      </c>
      <c r="M14" s="1259">
        <f t="shared" si="0"/>
        <v>0</v>
      </c>
      <c r="N14" s="1257">
        <f t="shared" si="0"/>
        <v>185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40</v>
      </c>
      <c r="AE14" s="1257">
        <f t="shared" si="1"/>
        <v>0</v>
      </c>
      <c r="AF14" s="1257">
        <f t="shared" si="1"/>
        <v>93</v>
      </c>
      <c r="AG14" s="1257">
        <f t="shared" si="1"/>
        <v>0</v>
      </c>
      <c r="AH14" s="1257">
        <f t="shared" si="1"/>
        <v>6124</v>
      </c>
      <c r="AI14" s="1257">
        <f t="shared" si="1"/>
        <v>0</v>
      </c>
      <c r="AJ14" s="1257">
        <f t="shared" si="1"/>
        <v>0</v>
      </c>
      <c r="AK14" s="1257">
        <f t="shared" si="1"/>
        <v>0</v>
      </c>
      <c r="AL14" s="1257">
        <f t="shared" si="1"/>
        <v>296</v>
      </c>
      <c r="AM14" s="1257">
        <f t="shared" si="1"/>
        <v>269</v>
      </c>
      <c r="AN14" s="1257">
        <f t="shared" si="1"/>
        <v>0</v>
      </c>
      <c r="AO14" s="1257">
        <f t="shared" si="1"/>
        <v>0</v>
      </c>
      <c r="AP14" s="1262">
        <f>IF(ISNUMBER(((Datos!L14/Datos!K14)*11)/factor_trimestre),((Datos!L14/Datos!K14)*11)/factor_trimestre," - ")</f>
        <v>29.081863979848865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2.4251547081451746E-2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10.86782133090246</v>
      </c>
      <c r="AQ23" s="1262">
        <f>IF(ISNUMBER(((Datos!M23/Datos!L23)*11)/factor_trimestre),((Datos!M23/Datos!L23)*11)/factor_trimestre," - ")</f>
        <v>0.11550075490689482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4.4585987261146494E-2</v>
      </c>
      <c r="AW23" s="1265">
        <f>IF(ISNUMBER((Datos!Q23-Datos!R23)/(Datos!S23-Datos!Q23+Datos!R23)),(Datos!Q23-Datos!R23)/(Datos!S23-Datos!Q23+Datos!R23)," - ")</f>
        <v>-4.0777747772076697E-2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100</v>
      </c>
      <c r="G31" s="1278">
        <f t="shared" si="8"/>
        <v>100</v>
      </c>
      <c r="H31" s="1278">
        <f t="shared" si="8"/>
        <v>0</v>
      </c>
      <c r="I31" s="1279">
        <f t="shared" si="8"/>
        <v>0</v>
      </c>
      <c r="J31" s="1280">
        <f t="shared" si="8"/>
        <v>0</v>
      </c>
      <c r="K31" s="1280">
        <f t="shared" si="8"/>
        <v>0</v>
      </c>
      <c r="L31" s="1280">
        <f t="shared" si="8"/>
        <v>0</v>
      </c>
      <c r="M31" s="1280">
        <f t="shared" si="8"/>
        <v>0</v>
      </c>
      <c r="N31" s="1279">
        <f t="shared" si="8"/>
        <v>185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40</v>
      </c>
      <c r="AE31" s="1284">
        <f t="shared" si="9"/>
        <v>0</v>
      </c>
      <c r="AF31" s="1285">
        <f t="shared" si="9"/>
        <v>93</v>
      </c>
      <c r="AG31" s="1285">
        <f t="shared" si="9"/>
        <v>0</v>
      </c>
      <c r="AH31" s="1285">
        <f t="shared" si="9"/>
        <v>6124</v>
      </c>
      <c r="AI31" s="1285">
        <f t="shared" si="9"/>
        <v>0</v>
      </c>
      <c r="AJ31" s="1286">
        <f t="shared" si="9"/>
        <v>0</v>
      </c>
      <c r="AK31" s="1286">
        <f t="shared" si="9"/>
        <v>0</v>
      </c>
      <c r="AL31" s="1278">
        <f t="shared" si="9"/>
        <v>296</v>
      </c>
      <c r="AM31" s="1278">
        <f t="shared" si="9"/>
        <v>269</v>
      </c>
      <c r="AN31" s="1278">
        <f t="shared" si="9"/>
        <v>0</v>
      </c>
      <c r="AO31" s="1278">
        <f t="shared" si="9"/>
        <v>0</v>
      </c>
      <c r="AP31" s="1278">
        <f>IF(ISNUMBER(((Datos!L31/Datos!K31)*11)/factor_trimestre),((Datos!L31/Datos!K31)*11)/factor_trimestre," - ")</f>
        <v>18.515600211528294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2.4771838331160364E-2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54.772255750516614</v>
      </c>
      <c r="G33" s="1007">
        <f>IF(ISNUMBER(STDEV(G8:G30)),STDEV(G8:G30),"-")</f>
        <v>54.772255750516614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147.2354124070248</v>
      </c>
      <c r="AM33" s="1006"/>
      <c r="AN33" s="1006">
        <f>IF(ISNUMBER(STDEV(AN8:AN30)),STDEV(AN8:AN30),"-")</f>
        <v>0</v>
      </c>
      <c r="AO33" s="1012">
        <f>IF(ISNUMBER(STDEV(AO8:AO30)),STDEV(AO8:AO30),"-")</f>
        <v>0</v>
      </c>
      <c r="AP33" s="1065">
        <f>IF(ISNUMBER(STDEV(AP8:AP30)),STDEV(AP8:AP30),"-")</f>
        <v>10.182628397040181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a+bk/+S8k9zxgOTLbcrVN+N6s4uIHQ5dAz843tnDxxMQn0IUsZAk7/hnr+VyaFyKN/486SQFUOua6YAbIrF+Q==" saltValue="T+GPAbixM/KYoEcsIgO3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GRANADILLA DE ABONA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fWi5fo51WywaXIhtQxi1J3QS23dhWDVDDsITW+LkqFLN8QMA5jA5u3qUVeMX+Yq5CC2rxTZXMuGxRxlDIyBZQ==" saltValue="o/yCUPmvxnuKpx+WykvW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GRANADILLA DE ABONA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15</v>
      </c>
      <c r="E10" s="452">
        <f>IF(ISNUMBER(D10/B10),D10/B10," - ")</f>
        <v>15</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281</v>
      </c>
      <c r="E12" s="452">
        <f t="shared" si="0"/>
        <v>70.25</v>
      </c>
      <c r="F12" s="451">
        <f>IF(ISNUMBER(Datos!N12),Datos!N12," - ")</f>
        <v>266</v>
      </c>
      <c r="G12" s="452">
        <f t="shared" si="1"/>
        <v>66.5</v>
      </c>
      <c r="H12" s="451">
        <f>IF(ISNUMBER(Datos!O12),Datos!O12," - ")</f>
        <v>203</v>
      </c>
      <c r="I12" s="452">
        <f t="shared" si="2"/>
        <v>50.75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296</v>
      </c>
      <c r="E14" s="1147">
        <f t="shared" si="0"/>
        <v>59.2</v>
      </c>
      <c r="F14" s="1146">
        <f>SUBTOTAL(9,F9:F13)</f>
        <v>269</v>
      </c>
      <c r="G14" s="1147">
        <f t="shared" si="1"/>
        <v>53.8</v>
      </c>
      <c r="H14" s="1146">
        <f>SUBTOTAL(9,H9:H13)</f>
        <v>203</v>
      </c>
      <c r="I14" s="1147">
        <f>IF(ISNUMBER(H14/B14),H14/B14," - ")</f>
        <v>40.6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136</v>
      </c>
      <c r="E17" s="452">
        <f t="shared" si="3"/>
        <v>34</v>
      </c>
      <c r="F17" s="451">
        <f>IF(ISNUMBER(Datos!N17),Datos!N17," - ")</f>
        <v>704</v>
      </c>
      <c r="G17" s="452">
        <f t="shared" si="4"/>
        <v>176</v>
      </c>
      <c r="H17" s="451">
        <f>IF(ISNUMBER(Datos!O17),Datos!O17," - ")</f>
        <v>3</v>
      </c>
      <c r="I17" s="452">
        <f t="shared" si="5"/>
        <v>0.75</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58</v>
      </c>
      <c r="G18" s="452">
        <f>IF(ISNUMBER(F18/B18),F18/B18," - ")</f>
        <v>58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153</v>
      </c>
      <c r="E23" s="1147">
        <f t="shared" si="3"/>
        <v>30.6</v>
      </c>
      <c r="F23" s="1146">
        <f>SUBTOTAL(9,F16:F22)</f>
        <v>762</v>
      </c>
      <c r="G23" s="1147">
        <f t="shared" si="4"/>
        <v>152.4</v>
      </c>
      <c r="H23" s="1146">
        <f>SUBTOTAL(9,H16:H22)</f>
        <v>3</v>
      </c>
      <c r="I23" s="1147">
        <f>IF(ISNUMBER(H23/B23),H23/B23," - ")</f>
        <v>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449</v>
      </c>
      <c r="E31" s="1085">
        <f>IF(ISNUMBER(D31/B31),D31/B31," - ")</f>
        <v>112.25</v>
      </c>
      <c r="F31" s="1084">
        <f>SUBTOTAL(9,F8:F30)</f>
        <v>1031</v>
      </c>
      <c r="G31" s="1085">
        <f>IF(ISNUMBER(F31/B31),F31/B31," - ")</f>
        <v>257.75</v>
      </c>
      <c r="H31" s="1084">
        <f>SUBTOTAL(9,H8:H30)</f>
        <v>206</v>
      </c>
      <c r="I31" s="1085">
        <f>IF(ISNUMBER(H31/B31),H31/B31," - ")</f>
        <v>51.5</v>
      </c>
    </row>
    <row r="34" spans="1:1">
      <c r="A34" s="439" t="str">
        <f>Criterios!A4</f>
        <v>Fecha Informe: 06 may. 2023</v>
      </c>
    </row>
    <row r="39" spans="1:1">
      <c r="A39" s="462"/>
    </row>
  </sheetData>
  <sheetProtection algorithmName="SHA-512" hashValue="BsQDjP8bus5abK3fhl81IxcXRp3+auFPu4tIfRMJXOL2vnV8Xr0ItpdKT5OsvRigw+HJo8sYoogOsA69ssITRg==" saltValue="HAc5kEZyxU4WEP53FRAQ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GRANADILLA DE ABONA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185</v>
      </c>
      <c r="C12" s="489">
        <f>IF(ISNUMBER(Datos!Q12),Datos!Q12," - ")</f>
        <v>40</v>
      </c>
      <c r="D12" s="456">
        <f>IF(ISNUMBER(Datos!R12),Datos!R12," - ")</f>
        <v>6124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185</v>
      </c>
      <c r="C14" s="1150">
        <f>SUBTOTAL(9,C9:C13)</f>
        <v>40</v>
      </c>
      <c r="D14" s="1148">
        <f>SUBTOTAL(9,D9:D13)</f>
        <v>6124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13</v>
      </c>
      <c r="D17" s="456">
        <f>IF(ISNUMBER(Datos!R17),Datos!R17," - ")</f>
        <v>145</v>
      </c>
    </row>
    <row r="18" spans="1:4">
      <c r="A18" s="450" t="str">
        <f>Datos!A18</f>
        <v>Jdos. Violencia contra la mujer</v>
      </c>
      <c r="B18" s="488">
        <f>IF(ISNUMBER(Datos!P18),Datos!P18," - ")</f>
        <v>2</v>
      </c>
      <c r="C18" s="489">
        <f>IF(ISNUMBER(Datos!Q18),Datos!Q18," - ")</f>
        <v>0</v>
      </c>
      <c r="D18" s="456">
        <f>IF(ISNUMBER(Datos!R18),Datos!R18," - ")</f>
        <v>19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13</v>
      </c>
      <c r="D23" s="1148">
        <f>SUBTOTAL(9,D16:D22)</f>
        <v>164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205</v>
      </c>
      <c r="C31" s="1089">
        <f>SUBTOTAL(9,C8:C30)</f>
        <v>53</v>
      </c>
      <c r="D31" s="1090">
        <f>SUBTOTAL(9,D8:D30)</f>
        <v>6288</v>
      </c>
    </row>
    <row r="32" spans="1:4" ht="7.5" customHeight="1"/>
    <row r="33" spans="1:1" ht="6" customHeight="1"/>
    <row r="34" spans="1:1">
      <c r="A34" s="439" t="str">
        <f>Criterios!A4</f>
        <v>Fecha Informe: 06 may. 2023</v>
      </c>
    </row>
    <row r="39" spans="1:1">
      <c r="A39" s="462"/>
    </row>
  </sheetData>
  <sheetProtection algorithmName="SHA-512" hashValue="nFhTT7IcZiJaxuT8T1OJIa77MP28gpd5R6nU/7B2qoEy5oLTfPKZRBLiyKUDWzuU30G6bC1mUKJyByEmx4X2dw==" saltValue="L9LYCqjc/LiIu/00Avou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GRANADILLA DE ABONA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0.14942528735632185</v>
      </c>
      <c r="C10" s="515">
        <f>IF(ISNUMBER((Datos!J10-Datos!T10)/Datos!T10),(Datos!J10-Datos!T10)/Datos!T10," - ")</f>
        <v>-0.1</v>
      </c>
      <c r="D10" s="515">
        <f>IF(ISNUMBER((Datos!K10-Datos!U10)/Datos!U10),(Datos!K10-Datos!U10)/Datos!U10," - ")</f>
        <v>-3.8461538461538464E-2</v>
      </c>
      <c r="E10" s="515">
        <f>IF(ISNUMBER((Datos!L10-Datos!V10)/Datos!V10),(Datos!L10-Datos!V10)/Datos!V10," - ")</f>
        <v>0.14814814814814814</v>
      </c>
      <c r="F10" s="515">
        <f>IF(ISNUMBER((Datos!M10-Datos!W10)/Datos!W10),(Datos!M10-Datos!W10)/Datos!W10," - ")</f>
        <v>4</v>
      </c>
      <c r="G10" s="516">
        <f>IF(ISNUMBER((Datos!N10-Datos!X10)/Datos!X10),(Datos!N10-Datos!X10)/Datos!X10," - ")</f>
        <v>0</v>
      </c>
      <c r="H10" s="514">
        <f>IF(ISNUMBER(((NºAsuntos!G10/NºAsuntos!E10)-Datos!BD10)/Datos!BD10),((NºAsuntos!G10/NºAsuntos!E10)-Datos!BD10)/Datos!BD10," - ")</f>
        <v>6.83760683760683E-2</v>
      </c>
      <c r="I10" s="515">
        <f>IF(ISNUMBER(((NºAsuntos!I10/NºAsuntos!G10)-Datos!BE10)/Datos!BE10),((NºAsuntos!I10/NºAsuntos!G10)-Datos!BE10)/Datos!BE10," - ")</f>
        <v>0.19407407407407412</v>
      </c>
      <c r="J10" s="521">
        <f>IF(ISNUMBER((('Resol  Asuntos'!D10/NºAsuntos!G10)-Datos!BF10)/Datos!BF10),(('Resol  Asuntos'!D10/NºAsuntos!G10)-Datos!BF10)/Datos!BF10," - ")</f>
        <v>4.1999999999999993</v>
      </c>
      <c r="K10" s="522">
        <f>IF(ISNUMBER((((NºAsuntos!C10+NºAsuntos!E10)/NºAsuntos!G10)-Datos!BG10)/Datos!BG10),(((NºAsuntos!C10+NºAsuntos!E10)/NºAsuntos!G10)-Datos!BG10)/Datos!BG10," - ")</f>
        <v>0.14691588785046733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0.16602192134107027</v>
      </c>
      <c r="C12" s="515">
        <f>IF(ISNUMBER(
   IF(J_V="SI",(Datos!J12-Datos!T12)/Datos!T12,(Datos!J12+Datos!Z12-(Datos!T12+Datos!AH12))/(Datos!T12+Datos!AH12))
     ),IF(J_V="SI",(Datos!J12-Datos!T12)/Datos!T12,(Datos!J12+Datos!Z12-(Datos!T12+Datos!AH12))/(Datos!T12+Datos!AH12))," - ")</f>
        <v>0.12361466325660699</v>
      </c>
      <c r="D12" s="515">
        <f>IF(ISNUMBER(
   IF(J_V="SI",(Datos!K12-Datos!U12)/Datos!U12,(Datos!K12+Datos!AA12-(Datos!U12+Datos!AI12))/(Datos!U12+Datos!AI12))
     ),IF(J_V="SI",(Datos!K12-Datos!U12)/Datos!U12,(Datos!K12+Datos!AA12-(Datos!U12+Datos!AI12))/(Datos!U12+Datos!AI12))," - ")</f>
        <v>4.4529262086513997E-2</v>
      </c>
      <c r="E12" s="515">
        <f>IF(ISNUMBER(
   IF(J_V="SI",(Datos!L12-Datos!V12)/Datos!V12,(Datos!L12+Datos!AB12-(Datos!V12+Datos!AJ12))/(Datos!V12+Datos!AJ12))
     ),IF(J_V="SI",(Datos!L12-Datos!V12)/Datos!V12,(Datos!L12+Datos!AB12-(Datos!V12+Datos!AJ12))/(Datos!V12+Datos!AJ12))," - ")</f>
        <v>0.17068730086481565</v>
      </c>
      <c r="F12" s="515">
        <f>IF(ISNUMBER((Datos!M12-Datos!W12)/Datos!W12),(Datos!M12-Datos!W12)/Datos!W12," - ")</f>
        <v>2.9304029304029304E-2</v>
      </c>
      <c r="G12" s="516">
        <f>IF(ISNUMBER((Datos!N12-Datos!X12)/Datos!X12),(Datos!N12-Datos!X12)/Datos!X12," - ")</f>
        <v>0.14655172413793102</v>
      </c>
      <c r="H12" s="514">
        <f>IF(ISNUMBER(((NºAsuntos!G12/NºAsuntos!E12)-Datos!BD12)/Datos!BD12),((NºAsuntos!G12/NºAsuntos!E12)-Datos!BD12)/Datos!BD12," - ")</f>
        <v>-7.0384806959422688E-2</v>
      </c>
      <c r="I12" s="515">
        <f>IF(ISNUMBER(((NºAsuntos!I12/NºAsuntos!G12)-Datos!BE12)/Datos!BE12),((NºAsuntos!I12/NºAsuntos!G12)-Datos!BE12)/Datos!BE12," - ")</f>
        <v>0.12077980326400135</v>
      </c>
      <c r="J12" s="521">
        <f>IF(ISNUMBER((('Resol  Asuntos'!D12/NºAsuntos!G12)-Datos!BF12)/Datos!BF12),(('Resol  Asuntos'!D12/NºAsuntos!G12)-Datos!BF12)/Datos!BF12," - ")</f>
        <v>0.15957201058423301</v>
      </c>
      <c r="K12" s="522">
        <f>IF(ISNUMBER((((NºAsuntos!C12+NºAsuntos!E12)/NºAsuntos!G12)-Datos!BG12)/Datos!BG12),(((NºAsuntos!C12+NºAsuntos!E12)/NºAsuntos!G12)-Datos!BG12)/Datos!BG12," - ")</f>
        <v>0.10985769543782348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0.16579240184390398</v>
      </c>
      <c r="C14" s="1152">
        <f>IF(ISNUMBER(
   IF(J_V="SI",(Datos!J14-Datos!T14)/Datos!T14,(Datos!J14+Datos!Z14-(Datos!T14+Datos!AH14))/(Datos!T14+Datos!AH14))
     ),IF(J_V="SI",(Datos!J14-Datos!T14)/Datos!T14,(Datos!J14+Datos!Z14-(Datos!T14+Datos!AH14))/(Datos!T14+Datos!AH14))," - ")</f>
        <v>0.11986588432523052</v>
      </c>
      <c r="D14" s="1152">
        <f>IF(ISNUMBER(
   IF(J_V="SI",(Datos!K14-Datos!U14)/Datos!U14,(Datos!K14+Datos!AA14-(Datos!U14+Datos!AI14))/(Datos!U14+Datos!AI14))
     ),IF(J_V="SI",(Datos!K14-Datos!U14)/Datos!U14,(Datos!K14+Datos!AA14-(Datos!U14+Datos!AI14))/(Datos!U14+Datos!AI14))," - ")</f>
        <v>4.1871921182266007E-2</v>
      </c>
      <c r="E14" s="1152">
        <f>IF(ISNUMBER(
   IF(J_V="SI",(Datos!L14-Datos!V14)/Datos!V14,(Datos!L14+Datos!AB14-(Datos!V14+Datos!AJ14))/(Datos!V14+Datos!AJ14))
     ),IF(J_V="SI",(Datos!L14-Datos!V14)/Datos!V14,(Datos!L14+Datos!AB14-(Datos!V14+Datos!AJ14))/(Datos!V14+Datos!AJ14))," - ")</f>
        <v>0.1704136690647482</v>
      </c>
      <c r="F14" s="1153">
        <f>IF(ISNUMBER((Datos!M14-Datos!W14)/Datos!W14),(Datos!M14-Datos!W14)/Datos!W14," - ")</f>
        <v>7.2463768115942032E-2</v>
      </c>
      <c r="G14" s="1154">
        <f>IF(ISNUMBER((Datos!N14-Datos!X14)/Datos!X14),(Datos!N14-Datos!X14)/Datos!X14," - ")</f>
        <v>0.14468085106382977</v>
      </c>
      <c r="H14" s="1154">
        <f>IF(ISNUMBER(((NºAsuntos!G14/NºAsuntos!E14)-Datos!BD14)/Datos!BD14),((NºAsuntos!G14/NºAsuntos!E14)-Datos!BD14)/Datos!BD14," - ")</f>
        <v>-6.9645806908350677E-2</v>
      </c>
      <c r="I14" s="1154">
        <f>IF(ISNUMBER(((NºAsuntos!I14/NºAsuntos!G14)-Datos!BE14)/Datos!BE14),((NºAsuntos!I14/NºAsuntos!G14)-Datos!BE14)/Datos!BE14," - ")</f>
        <v>0.1233757674711296</v>
      </c>
      <c r="J14" s="1154">
        <f>IF(ISNUMBER((('Resol  Asuntos'!D14/NºAsuntos!G14)-Datos!BF14)/Datos!BF14),(('Resol  Asuntos'!D14/NºAsuntos!G14)-Datos!BF14)/Datos!BF14," - ")</f>
        <v>0.20895327196821084</v>
      </c>
      <c r="K14" s="1154">
        <f>IF(ISNUMBER((((NºAsuntos!C14+NºAsuntos!E14)/NºAsuntos!G14)-Datos!BG14)/Datos!BG14),(((NºAsuntos!C14+NºAsuntos!E14)/NºAsuntos!G14)-Datos!BG14)/Datos!BG14," - ")</f>
        <v>0.1119134531918685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0.12816778327993009</v>
      </c>
      <c r="C17" s="515">
        <f>IF(ISNUMBER(
   IF(D_I="SI",(Datos!J17-Datos!T17)/Datos!T17,(Datos!J17+Datos!AD17-(Datos!T17+Datos!AL17))/(Datos!T17+Datos!AL17))
     ),IF(D_I="SI",(Datos!J17-Datos!T17)/Datos!T17,(Datos!J17+Datos!AD17-(Datos!T17+Datos!AL17))/(Datos!T17+Datos!AL17))," - ")</f>
        <v>-7.8244274809160311E-2</v>
      </c>
      <c r="D17" s="515">
        <f>IF(ISNUMBER(
   IF(D_I="SI",(Datos!K17-Datos!U17)/Datos!U17,(Datos!K17+Datos!AE17-(Datos!U17+Datos!AM17))/(Datos!U17+Datos!AM17))
     ),IF(D_I="SI",(Datos!K17-Datos!U17)/Datos!U17,(Datos!K17+Datos!AE17-(Datos!U17+Datos!AM17))/(Datos!U17+Datos!AM17))," - ")</f>
        <v>0.24447174447174447</v>
      </c>
      <c r="E17" s="515">
        <f>IF(ISNUMBER(
   IF(D_I="SI",(Datos!L17-Datos!V17)/Datos!V17,(Datos!L17+Datos!AF17-(Datos!V17+Datos!AN17))/(Datos!V17+Datos!AN17))
     ),IF(D_I="SI",(Datos!L17-Datos!V17)/Datos!V17,(Datos!L17+Datos!AF17-(Datos!V17+Datos!AN17))/(Datos!V17+Datos!AN17))," - ")</f>
        <v>4.187058183795541E-2</v>
      </c>
      <c r="F17" s="515">
        <f>IF(ISNUMBER((Datos!M17-Datos!W17)/Datos!W17),(Datos!M17-Datos!W17)/Datos!W17," - ")</f>
        <v>-0.22285714285714286</v>
      </c>
      <c r="G17" s="516">
        <f>IF(ISNUMBER((Datos!N17-Datos!X17)/Datos!X17),(Datos!N17-Datos!X17)/Datos!X17," - ")</f>
        <v>0.33586337760910817</v>
      </c>
      <c r="H17" s="514">
        <f>IF(ISNUMBER(((NºAsuntos!G17/NºAsuntos!E17)-Datos!BD17)/Datos!BD17),((NºAsuntos!G17/NºAsuntos!E17)-Datos!BD17)/Datos!BD17," - ")</f>
        <v>0.35011013271882835</v>
      </c>
      <c r="I17" s="515">
        <f>IF(ISNUMBER(((NºAsuntos!I17/NºAsuntos!G17)-Datos!BE17)/Datos!BE17),((NºAsuntos!I17/NºAsuntos!G17)-Datos!BE17)/Datos!BE17," - ")</f>
        <v>-0.16280093423879993</v>
      </c>
      <c r="J17" s="521">
        <f>IF(ISNUMBER((('Resol  Asuntos'!D17/NºAsuntos!G17)-Datos!BF17)/Datos!BF17),(('Resol  Asuntos'!D17/NºAsuntos!G17)-Datos!BF17)/Datos!BF17," - ")</f>
        <v>-0.37552390353969822</v>
      </c>
      <c r="K17" s="522">
        <f>IF(ISNUMBER((((NºAsuntos!C17+NºAsuntos!E17)/NºAsuntos!G17)-Datos!BG17)/Datos!BG17),(((NºAsuntos!C17+NºAsuntos!E17)/NºAsuntos!G17)-Datos!BG17)/Datos!BG17," - ")</f>
        <v>-0.13224797119702283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8.4033613445378158E-2</v>
      </c>
      <c r="C18" s="515">
        <f>IF(ISNUMBER(
   IF(D_I="SI",(Datos!J18-Datos!T18)/Datos!T18,(Datos!J18+Datos!AD18-(Datos!T18+Datos!AL18))/(Datos!T18+Datos!AL18))
     ),IF(D_I="SI",(Datos!J18-Datos!T18)/Datos!T18,(Datos!J18+Datos!AD18-(Datos!T18+Datos!AL18))/(Datos!T18+Datos!AL18))," - ")</f>
        <v>-0.11818181818181818</v>
      </c>
      <c r="D18" s="515">
        <f>IF(ISNUMBER(
   IF(D_I="SI",(Datos!K18-Datos!U18)/Datos!U18,(Datos!K18+Datos!AE18-(Datos!U18+Datos!AM18))/(Datos!U18+Datos!AM18))
     ),IF(D_I="SI",(Datos!K18-Datos!U18)/Datos!U18,(Datos!K18+Datos!AE18-(Datos!U18+Datos!AM18))/(Datos!U18+Datos!AM18))," - ")</f>
        <v>-0.17647058823529413</v>
      </c>
      <c r="E18" s="515">
        <f>IF(ISNUMBER(
   IF(D_I="SI",(Datos!L18-Datos!V18)/Datos!V18,(Datos!L18+Datos!AF18-(Datos!V18+Datos!AN18))/(Datos!V18+Datos!AN18))
     ),IF(D_I="SI",(Datos!L18-Datos!V18)/Datos!V18,(Datos!L18+Datos!AF18-(Datos!V18+Datos!AN18))/(Datos!V18+Datos!AN18))," - ")</f>
        <v>0.11811023622047244</v>
      </c>
      <c r="F18" s="515">
        <f>IF(ISNUMBER((Datos!M18-Datos!W18)/Datos!W18),(Datos!M18-Datos!W18)/Datos!W18," - ")</f>
        <v>-0.5</v>
      </c>
      <c r="G18" s="516">
        <f>IF(ISNUMBER((Datos!N18-Datos!X18)/Datos!X18),(Datos!N18-Datos!X18)/Datos!X18," - ")</f>
        <v>-0.19444444444444445</v>
      </c>
      <c r="H18" s="514">
        <f>IF(ISNUMBER(((NºAsuntos!G18/NºAsuntos!E18)-Datos!BD18)/Datos!BD18),((NºAsuntos!G18/NºAsuntos!E18)-Datos!BD18)/Datos!BD18," - ")</f>
        <v>-6.6100667070952038E-2</v>
      </c>
      <c r="I18" s="515">
        <f>IF(ISNUMBER(((NºAsuntos!I18/NºAsuntos!G18)-Datos!BE18)/Datos!BE18),((NºAsuntos!I18/NºAsuntos!G18)-Datos!BE18)/Datos!BE18," - ")</f>
        <v>0.3577052868391451</v>
      </c>
      <c r="J18" s="521">
        <f>IF(ISNUMBER((('Resol  Asuntos'!D18/NºAsuntos!G18)-Datos!BF18)/Datos!BF18),(('Resol  Asuntos'!D18/NºAsuntos!G18)-Datos!BF18)/Datos!BF18," - ")</f>
        <v>-0.39285714285714279</v>
      </c>
      <c r="K18" s="522">
        <f>IF(ISNUMBER((((NºAsuntos!C18+NºAsuntos!E18)/NºAsuntos!G18)-Datos!BG18)/Datos!BG18),(((NºAsuntos!C18+NºAsuntos!E18)/NºAsuntos!G18)-Datos!BG18)/Datos!BG18," - ")</f>
        <v>0.19837804117280108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0.1266891891891892</v>
      </c>
      <c r="C23" s="1152">
        <f>IF(ISNUMBER(
   IF(Criterios!B14="SI",(Datos!J23-Datos!T23)/Datos!T23,(Datos!J23+Datos!AD23-(Datos!T23+Datos!AL23))/(Datos!T23+Datos!AL23))
     ),IF(Criterios!B14="SI",(Datos!J23-Datos!T23)/Datos!T23,(Datos!J23+Datos!AD23-(Datos!T23+Datos!AL23))/(Datos!T23+Datos!AL23))," - ")</f>
        <v>-8.2037996545768571E-2</v>
      </c>
      <c r="D23" s="1152">
        <f>IF(ISNUMBER(
   IF(Criterios!B14="SI",(Datos!K23-Datos!U23)/Datos!U23,(Datos!K23+Datos!AE23-(Datos!U23+Datos!AM23))/(Datos!U23+Datos!AM23))
     ),IF(Criterios!B14="SI",(Datos!K23-Datos!U23)/Datos!U23,(Datos!K23+Datos!AE23-(Datos!U23+Datos!AM23))/(Datos!U23+Datos!AM23))," - ")</f>
        <v>0.19759825327510916</v>
      </c>
      <c r="E23" s="1152">
        <f>IF(ISNUMBER(
   IF(Criterios!B14="SI",(Datos!L23-Datos!V23)/Datos!V23,(Datos!L23+Datos!AF23-(Datos!V23+Datos!AN23))/(Datos!V23+Datos!AN23))
     ),IF(Criterios!B14="SI",(Datos!L23-Datos!V23)/Datos!V23,(Datos!L23+Datos!AF23-(Datos!V23+Datos!AN23))/(Datos!V23+Datos!AN23))," - ")</f>
        <v>4.4415243101182653E-2</v>
      </c>
      <c r="F23" s="1153">
        <f>IF(ISNUMBER((Datos!M23-Datos!W23)/Datos!W23),(Datos!M23-Datos!W23)/Datos!W23," - ")</f>
        <v>-0.26794258373205743</v>
      </c>
      <c r="G23" s="1154">
        <f>IF(ISNUMBER((Datos!N23-Datos!X23)/Datos!X23),(Datos!N23-Datos!X23)/Datos!X23," - ")</f>
        <v>0.27212020033388984</v>
      </c>
      <c r="H23" s="1154">
        <f>IF(ISNUMBER(((NºAsuntos!G23/NºAsuntos!E23)-Datos!BD23)/Datos!BD23),((NºAsuntos!G23/NºAsuntos!E23)-Datos!BD23)/Datos!BD23," - ")</f>
        <v>0.30462725991775785</v>
      </c>
      <c r="I23" s="1154">
        <f>IF(ISNUMBER(((NºAsuntos!I23/NºAsuntos!G23)-Datos!BE23)/Datos!BE23),((NºAsuntos!I23/NºAsuntos!G23)-Datos!BE23)/Datos!BE23," - ")</f>
        <v>-0.1279085116857947</v>
      </c>
      <c r="J23" s="1154">
        <f>IF(ISNUMBER((('Resol  Asuntos'!D23/NºAsuntos!G23)-Datos!BF23)/Datos!BF23),(('Resol  Asuntos'!D23/NºAsuntos!G23)-Datos!BF23)/Datos!BF23," - ")</f>
        <v>-0.38872872078264781</v>
      </c>
      <c r="K23" s="1154">
        <f>IF(ISNUMBER((((NºAsuntos!C23+NºAsuntos!E23)/NºAsuntos!G23)-Datos!BG23)/Datos!BG23),(((NºAsuntos!C23+NºAsuntos!E23)/NºAsuntos!G23)-Datos!BG23)/Datos!BG23," - ")</f>
        <v>-0.10205985441863255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0.15168139794778016</v>
      </c>
      <c r="C31" s="1092">
        <f>IF(ISNUMBER(
   IF(J_V="SI",(Datos!J31-Datos!T31)/Datos!T31,(Datos!J31+Datos!Z31-(Datos!T31+Datos!AH31))/(Datos!T31+Datos!AH31))
     ),IF(J_V="SI",(Datos!J31-Datos!T31)/Datos!T31,(Datos!J31+Datos!Z31-(Datos!T31+Datos!AH31))/(Datos!T31+Datos!AH31))," - ")</f>
        <v>2.0416843896214378E-2</v>
      </c>
      <c r="D31" s="1092">
        <f>IF(ISNUMBER(
   IF(J_V="SI",(Datos!K31-Datos!U31)/Datos!U31,(Datos!K31+Datos!AA31-(Datos!U31+Datos!AI31))/(Datos!U31+Datos!AI31))
     ),IF(J_V="SI",(Datos!K31-Datos!U31)/Datos!U31,(Datos!K31+Datos!AA31-(Datos!U31+Datos!AI31))/(Datos!U31+Datos!AI31))," - ")</f>
        <v>0.12442129629629629</v>
      </c>
      <c r="E31" s="1092">
        <f>IF(ISNUMBER(
   IF(J_V="SI",(Datos!L31-Datos!V31)/Datos!V31,(Datos!L31+Datos!AB31-(Datos!V31+Datos!AJ31))/(Datos!V31+Datos!AJ31))
     ),IF(J_V="SI",(Datos!L31-Datos!V31)/Datos!V31,(Datos!L31+Datos!AB31-(Datos!V31+Datos!AJ31))/(Datos!V31+Datos!AJ31))," - ")</f>
        <v>0.12465400400878114</v>
      </c>
      <c r="F31" s="1093">
        <f>IF(ISNUMBER((Datos!M31-Datos!W31)/Datos!W31),(Datos!M31-Datos!W31)/Datos!W31," - ")</f>
        <v>-7.422680412371134E-2</v>
      </c>
      <c r="G31" s="1094">
        <f>IF(ISNUMBER((Datos!N31-Datos!X31)/Datos!X31),(Datos!N31-Datos!X31)/Datos!X31," - ")</f>
        <v>0.23621103117505995</v>
      </c>
      <c r="H31" s="1095">
        <f>IF(ISNUMBER((Tasas!B31-Datos!BD31)/Datos!BD31),(Tasas!B31-Datos!BD31)/Datos!BD31," - ")</f>
        <v>0.10192349628703314</v>
      </c>
      <c r="I31" s="1096">
        <f>IF(ISNUMBER((Tasas!C31-Datos!BE31)/Datos!BE31),(Tasas!C31-Datos!BE31)/Datos!BE31," - ")</f>
        <v>2.0695775973961257E-4</v>
      </c>
      <c r="J31" s="1097">
        <f>IF(ISNUMBER((Tasas!D31-Datos!BF31)/Datos!BF31),(Tasas!D31-Datos!BF31)/Datos!BF31," - ")</f>
        <v>-0.10063846656744227</v>
      </c>
      <c r="K31" s="1097">
        <f>IF(ISNUMBER((Tasas!E31-Datos!BG31)/Datos!BG31),(Tasas!E31-Datos!BG31)/Datos!BG31," - ")</f>
        <v>1.7362976704201414E-3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QXXsE+dB6tQ50FRQ2tAPnOywP5GKWV8mlYP4rkBiHdQSkK6hqi3mn5yWjEJSps+myghfSa1VXbuDfaF8FAYA==" saltValue="94f5MzsDJzMv73VIxdP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GRANADILLA DE ABONA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1.3888888888888888</v>
      </c>
      <c r="C10" s="498">
        <f>IF(ISNUMBER(NºAsuntos!I10/NºAsuntos!G10),NºAsuntos!I10/NºAsuntos!G10," - ")</f>
        <v>3.72</v>
      </c>
      <c r="D10" s="499">
        <f>IF(ISNUMBER('Resol  Asuntos'!D10/NºAsuntos!G10),'Resol  Asuntos'!D10/NºAsuntos!G10," - ")</f>
        <v>0.6</v>
      </c>
      <c r="E10" s="500">
        <f>IF(ISNUMBER((NºAsuntos!C10+NºAsuntos!E10)/NºAsuntos!G10),(NºAsuntos!C10+NºAsuntos!E10)/NºAsuntos!G10," - ")</f>
        <v>4.72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0.62291350531107736</v>
      </c>
      <c r="C12" s="498">
        <f>IF(ISNUMBER(NºAsuntos!I12/NºAsuntos!G12),NºAsuntos!I12/NºAsuntos!G12," - ")</f>
        <v>9.3982947624847739</v>
      </c>
      <c r="D12" s="499">
        <f>IF(ISNUMBER('Resol  Asuntos'!D12/NºAsuntos!G12),'Resol  Asuntos'!D12/NºAsuntos!G12," - ")</f>
        <v>0.34226552984165654</v>
      </c>
      <c r="E12" s="500">
        <f>IF(ISNUMBER((NºAsuntos!C12+NºAsuntos!E12)/NºAsuntos!G12),(NºAsuntos!C12+NºAsuntos!E12)/NºAsuntos!G12," - ")</f>
        <v>10.416565164433617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0.63323353293413176</v>
      </c>
      <c r="C14" s="1156">
        <f>IF(ISNUMBER(NºAsuntos!I14/NºAsuntos!G14),NºAsuntos!I14/NºAsuntos!G14," - ")</f>
        <v>9.2304964539007095</v>
      </c>
      <c r="D14" s="1157">
        <f>IF(ISNUMBER('Resol  Asuntos'!D14/NºAsuntos!G14),'Resol  Asuntos'!D14/NºAsuntos!G14," - ")</f>
        <v>0.34988179669030733</v>
      </c>
      <c r="E14" s="1158">
        <f>IF(ISNUMBER((NºAsuntos!C14+NºAsuntos!E14)/NºAsuntos!G14),(NºAsuntos!C14+NºAsuntos!E14)/NºAsuntos!G14," - ")</f>
        <v>10.24822695035461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1.0486542443064182</v>
      </c>
      <c r="C17" s="498">
        <f>IF(ISNUMBER(NºAsuntos!I17/NºAsuntos!G17),NºAsuntos!I17/NºAsuntos!G17," - ")</f>
        <v>3.7828232971372162</v>
      </c>
      <c r="D17" s="499">
        <f>IF(ISNUMBER('Resol  Asuntos'!D17/NºAsuntos!G17),'Resol  Asuntos'!D17/NºAsuntos!G17," - ")</f>
        <v>0.13425468904244817</v>
      </c>
      <c r="E17" s="500">
        <f>IF(ISNUMBER((NºAsuntos!C17+NºAsuntos!E17)/NºAsuntos!G17),(NºAsuntos!C17+NºAsuntos!E17)/NºAsuntos!G17," - ")</f>
        <v>4.7769002961500497</v>
      </c>
      <c r="G17" s="523"/>
    </row>
    <row r="18" spans="1:7">
      <c r="A18" s="450" t="str">
        <f>Datos!A18</f>
        <v>Jdos. Violencia contra la mujer</v>
      </c>
      <c r="B18" s="497">
        <f>IF(ISNUMBER(NºAsuntos!G18/NºAsuntos!E18),NºAsuntos!G18/NºAsuntos!E18," - ")</f>
        <v>0.865979381443299</v>
      </c>
      <c r="C18" s="498">
        <f>IF(ISNUMBER(NºAsuntos!I18/NºAsuntos!G18),NºAsuntos!I18/NºAsuntos!G18," - ")</f>
        <v>1.6904761904761905</v>
      </c>
      <c r="D18" s="499">
        <f>IF(ISNUMBER('Resol  Asuntos'!D18/NºAsuntos!G18),'Resol  Asuntos'!D18/NºAsuntos!G18," - ")</f>
        <v>0.20238095238095238</v>
      </c>
      <c r="E18" s="500">
        <f>IF(ISNUMBER((NºAsuntos!C18+NºAsuntos!E18)/NºAsuntos!G18),(NºAsuntos!C18+NºAsuntos!E18)/NºAsuntos!G18," - ")</f>
        <v>2.6904761904761907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1.0319849482596426</v>
      </c>
      <c r="C23" s="1156">
        <f>IF(ISNUMBER(NºAsuntos!I23/NºAsuntos!G23),NºAsuntos!I23/NºAsuntos!G23," - ")</f>
        <v>3.6226071103008204</v>
      </c>
      <c r="D23" s="1159">
        <f>IF(ISNUMBER('Resol  Asuntos'!D23/NºAsuntos!G23),'Resol  Asuntos'!D23/NºAsuntos!G23," - ")</f>
        <v>0.13947128532360983</v>
      </c>
      <c r="E23" s="1158">
        <f>IF(ISNUMBER((NºAsuntos!C23+NºAsuntos!E23)/NºAsuntos!G23),(NºAsuntos!C23+NºAsuntos!E23)/NºAsuntos!G23," - ")</f>
        <v>4.6171376481312674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0.80992080033347225</v>
      </c>
      <c r="C31" s="1099">
        <f>IF(ISNUMBER(NºAsuntos!I31/NºAsuntos!G31),NºAsuntos!I31/NºAsuntos!G31," - ")</f>
        <v>6.0643335048893467</v>
      </c>
      <c r="D31" s="1100">
        <f>IF(ISNUMBER('Resol  Asuntos'!D31/NºAsuntos!G31),'Resol  Asuntos'!D31/NºAsuntos!G31," - ")</f>
        <v>0.23108594956253217</v>
      </c>
      <c r="E31" s="1101">
        <f>IF(ISNUMBER((NºAsuntos!C31+NºAsuntos!E31)/NºAsuntos!G31),(NºAsuntos!C31+NºAsuntos!E31)/NºAsuntos!G31," - ")</f>
        <v>7.068965517241379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RkaNvhaaQ1qArsmTo5Nq8b/JlO1qZ6rr/d/Rw+cg4JWpiGKC+ssnHIa3LNrDSGx0QpNtwUYE8oae+z0i6YVYg==" saltValue="ofsyAOHpeDpXTYLzJEnV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GRANADILLA DE ABONA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100</v>
      </c>
      <c r="G10" s="373">
        <f>IF(ISNUMBER(Datos!I10),Datos!I10," - ")</f>
        <v>100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0</v>
      </c>
      <c r="Y10" s="374">
        <f t="shared" ref="Y10:Y13" si="0">SUM(W10:X10)</f>
        <v>25</v>
      </c>
      <c r="Z10" s="375" t="str">
        <f>IF(ISNUMBER(Datos!CC10),Datos!CC10," - ")</f>
        <v xml:space="preserve"> - </v>
      </c>
      <c r="AA10" s="372">
        <f>IF(ISNUMBER(Datos!L10),Datos!L10,"-")</f>
        <v>93</v>
      </c>
      <c r="AB10" s="374">
        <f>IF(ISNUMBER(Datos!R10),Datos!R10," - ")</f>
        <v>0</v>
      </c>
      <c r="AC10" s="374">
        <f t="shared" ref="AC10:AC13" si="1">IF(ISNUMBER(AA10+AB10),AA10+AB10," - ")</f>
        <v>93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1.3888888888888888</v>
      </c>
      <c r="AM10" s="284">
        <f>IF(ISNUMBER(((NºAsuntos!I10/NºAsuntos!G10)*11)/factor_trimestre),((NºAsuntos!I10/NºAsuntos!G10)*11)/factor_trimestre," - ")</f>
        <v>11.16</v>
      </c>
      <c r="AN10" s="267">
        <f>IF(ISNUMBER('Resol  Asuntos'!D10/NºAsuntos!G10),'Resol  Asuntos'!D10/NºAsuntos!G10," - ")</f>
        <v>0.6</v>
      </c>
      <c r="AO10" s="268">
        <f>IF(ISNUMBER((NºAsuntos!C10+NºAsuntos!E10)/NºAsuntos!G10),(NºAsuntos!C10+NºAsuntos!E10)/NºAsuntos!G10," - ")</f>
        <v>4.72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281</v>
      </c>
      <c r="AJ12" s="243" t="str">
        <f>IF(ISNUMBER(Datos!BW12),Datos!BW12," - ")</f>
        <v xml:space="preserve"> - </v>
      </c>
      <c r="AK12" s="242" t="str">
        <f>IF(ISNUMBER(Datos!BX12),Datos!BX12," - ")</f>
        <v xml:space="preserve"> - </v>
      </c>
      <c r="AL12" s="266">
        <f>IF(ISNUMBER(NºAsuntos!G12/NºAsuntos!E12),NºAsuntos!G12/NºAsuntos!E12," - ")</f>
        <v>0.62291350531107736</v>
      </c>
      <c r="AM12" s="284">
        <f>IF(ISNUMBER(((NºAsuntos!I12/NºAsuntos!G12)*11)/factor_trimestre),((NºAsuntos!I12/NºAsuntos!G12)*11)/factor_trimestre," - ")</f>
        <v>28.194884287454325</v>
      </c>
      <c r="AN12" s="267">
        <f>IF(ISNUMBER('Resol  Asuntos'!D12/NºAsuntos!G12),'Resol  Asuntos'!D12/NºAsuntos!G12," - ")</f>
        <v>0.34226552984165654</v>
      </c>
      <c r="AO12" s="268">
        <f>IF(ISNUMBER((NºAsuntos!C12+NºAsuntos!E12)/NºAsuntos!G12),(NºAsuntos!C12+NºAsuntos!E12)/NºAsuntos!G12," - ")</f>
        <v>10.416565164433617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100</v>
      </c>
      <c r="G14" s="1163">
        <f t="shared" si="5"/>
        <v>100</v>
      </c>
      <c r="H14" s="1162">
        <f t="shared" si="5"/>
        <v>0</v>
      </c>
      <c r="I14" s="1164">
        <f t="shared" si="5"/>
        <v>0</v>
      </c>
      <c r="J14" s="1164">
        <f t="shared" si="5"/>
        <v>0</v>
      </c>
      <c r="K14" s="1164">
        <f t="shared" si="5"/>
        <v>0</v>
      </c>
      <c r="L14" s="1164">
        <f t="shared" si="5"/>
        <v>185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40</v>
      </c>
      <c r="Y14" s="1165">
        <f t="shared" si="6"/>
        <v>65</v>
      </c>
      <c r="Z14" s="1165">
        <f t="shared" si="6"/>
        <v>0</v>
      </c>
      <c r="AA14" s="1165">
        <f t="shared" si="6"/>
        <v>93</v>
      </c>
      <c r="AB14" s="1165">
        <f t="shared" si="6"/>
        <v>6124</v>
      </c>
      <c r="AC14" s="1165">
        <f t="shared" si="6"/>
        <v>93</v>
      </c>
      <c r="AD14" s="1165">
        <f t="shared" si="6"/>
        <v>0</v>
      </c>
      <c r="AE14" s="1169">
        <f t="shared" si="6"/>
        <v>0</v>
      </c>
      <c r="AF14" s="1162">
        <f t="shared" si="6"/>
        <v>0</v>
      </c>
      <c r="AG14" s="1170">
        <f t="shared" si="6"/>
        <v>0</v>
      </c>
      <c r="AH14" s="1167">
        <f t="shared" si="6"/>
        <v>0</v>
      </c>
      <c r="AI14" s="1162">
        <f t="shared" si="6"/>
        <v>296</v>
      </c>
      <c r="AJ14" s="1164">
        <f t="shared" si="6"/>
        <v>0</v>
      </c>
      <c r="AK14" s="1167">
        <f>SUBTOTAL(9,AK9:AK13)</f>
        <v>0</v>
      </c>
      <c r="AL14" s="1171">
        <f>IF(ISNUMBER(NºAsuntos!G14/NºAsuntos!E14),NºAsuntos!G14/NºAsuntos!E14," - ")</f>
        <v>0.63323353293413176</v>
      </c>
      <c r="AM14" s="1171">
        <f>IF(ISNUMBER(((NºAsuntos!I14/NºAsuntos!G14)*11)/factor_trimestre),((NºAsuntos!I14/NºAsuntos!G14)*11)/factor_trimestre," - ")</f>
        <v>27.691489361702128</v>
      </c>
      <c r="AN14" s="1172">
        <f>IF(ISNUMBER('Resol  Asuntos'!D14/NºAsuntos!G14),'Resol  Asuntos'!D14/NºAsuntos!G14," - ")</f>
        <v>0.34988179669030733</v>
      </c>
      <c r="AO14" s="1173">
        <f>IF(ISNUMBER((NºAsuntos!C14+NºAsuntos!E14)/NºAsuntos!G14),(NºAsuntos!C14+NºAsuntos!E14)/NºAsuntos!G14," - ")</f>
        <v>10.24822695035461</v>
      </c>
      <c r="AP14" s="1174" t="str">
        <f t="shared" si="2"/>
        <v xml:space="preserve"> - </v>
      </c>
      <c r="AQ14" s="1174">
        <f>IF(ISNUMBER((H14-W14+K14)/(F14)),(H14-W14+K14)/(F14)," - ")</f>
        <v>-0.25</v>
      </c>
      <c r="AR14" s="1175">
        <f>IF(ISNUMBER((Datos!P14-Datos!Q14)/(Datos!R14-Datos!P14+Datos!Q14)),(Datos!P14-Datos!Q14)/(Datos!R14-Datos!P14+Datos!Q14)," - ")</f>
        <v>2.4251547081451746E-2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3879</v>
      </c>
      <c r="G17" s="373">
        <f>IF(ISNUMBER(IF(D_I="SI",Datos!I17,Datos!I17+Datos!AC17)),IF(D_I="SI",Datos!I17,Datos!I17+Datos!AC17)," - ")</f>
        <v>3873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1013</v>
      </c>
      <c r="X17" s="240">
        <f>IF(ISNUMBER(Datos!Q17),Datos!Q17," - ")</f>
        <v>13</v>
      </c>
      <c r="Y17" s="374">
        <f t="shared" ref="Y17:Y22" si="9">SUM(W17:X17)</f>
        <v>1026</v>
      </c>
      <c r="Z17" s="375" t="str">
        <f>IF(ISNUMBER(Datos!CC17),Datos!CC17," - ")</f>
        <v xml:space="preserve"> - </v>
      </c>
      <c r="AA17" s="372">
        <f>IF(ISNUMBER(IF(D_I="SI",Datos!L17,Datos!L17+Datos!AF17)),IF(D_I="SI",Datos!L17,Datos!L17+Datos!AF17)," - ")</f>
        <v>3832</v>
      </c>
      <c r="AB17" s="374">
        <f>IF(ISNUMBER(Datos!R17),Datos!R17," - ")</f>
        <v>145</v>
      </c>
      <c r="AC17" s="374">
        <f t="shared" si="8"/>
        <v>3977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136</v>
      </c>
      <c r="AJ17" s="245" t="str">
        <f>IF(ISNUMBER(Datos!BW17),Datos!BW17," - ")</f>
        <v xml:space="preserve"> - </v>
      </c>
      <c r="AK17" s="246" t="str">
        <f>IF(ISNUMBER(Datos!BX17),Datos!BX17," - ")</f>
        <v xml:space="preserve"> - </v>
      </c>
      <c r="AL17" s="266">
        <f>IF(ISNUMBER(NºAsuntos!G17/NºAsuntos!E17),NºAsuntos!G17/NºAsuntos!E17," - ")</f>
        <v>1.0486542443064182</v>
      </c>
      <c r="AM17" s="284">
        <f>IF(ISNUMBER(((NºAsuntos!I17/NºAsuntos!G17)*11)/factor_trimestre),((NºAsuntos!I17/NºAsuntos!G17)*11)/factor_trimestre," - ")</f>
        <v>11.34846989141165</v>
      </c>
      <c r="AN17" s="267">
        <f>IF(ISNUMBER('Resol  Asuntos'!D17/NºAsuntos!G17),'Resol  Asuntos'!D17/NºAsuntos!G17," - ")</f>
        <v>0.13425468904244817</v>
      </c>
      <c r="AO17" s="268">
        <f>IF(ISNUMBER((NºAsuntos!C17+NºAsuntos!E17)/NºAsuntos!G17),(NºAsuntos!C17+NºAsuntos!E17)/NºAsuntos!G17," - ")</f>
        <v>4.7769002961500497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84</v>
      </c>
      <c r="X18" s="240">
        <f>IF(ISNUMBER(Datos!Q18),Datos!Q18," - ")</f>
        <v>0</v>
      </c>
      <c r="Y18" s="374">
        <f t="shared" si="9"/>
        <v>84</v>
      </c>
      <c r="Z18" s="375" t="str">
        <f>IF(ISNUMBER(Datos!CC18),Datos!CC18," - ")</f>
        <v xml:space="preserve"> - </v>
      </c>
      <c r="AA18" s="372">
        <f>IF(ISNUMBER(Datos!L18),Datos!L18,"-")</f>
        <v>142</v>
      </c>
      <c r="AB18" s="374">
        <f>IF(ISNUMBER(Datos!R18),Datos!R18," - ")</f>
        <v>19</v>
      </c>
      <c r="AC18" s="374">
        <f t="shared" si="8"/>
        <v>161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0.865979381443299</v>
      </c>
      <c r="AM18" s="284">
        <f>IF(ISNUMBER(((NºAsuntos!I18/NºAsuntos!G18)*11)/factor_trimestre),((NºAsuntos!I18/NºAsuntos!G18)*11)/factor_trimestre," - ")</f>
        <v>5.0714285714285712</v>
      </c>
      <c r="AN18" s="267">
        <f>IF(ISNUMBER('Resol  Asuntos'!D18/NºAsuntos!G18),'Resol  Asuntos'!D18/NºAsuntos!G18," - ")</f>
        <v>0.20238095238095238</v>
      </c>
      <c r="AO18" s="268">
        <f>IF(ISNUMBER((NºAsuntos!C18+NºAsuntos!E18)/NºAsuntos!G18),(NºAsuntos!C18+NºAsuntos!E18)/NºAsuntos!G18," - ")</f>
        <v>2.6904761904761907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3879</v>
      </c>
      <c r="G23" s="1163">
        <f>SUBTOTAL(9,G16:G22)</f>
        <v>4002</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1097</v>
      </c>
      <c r="X23" s="1164">
        <f t="shared" si="14"/>
        <v>13</v>
      </c>
      <c r="Y23" s="1165">
        <f t="shared" si="14"/>
        <v>1110</v>
      </c>
      <c r="Z23" s="1165">
        <f t="shared" si="14"/>
        <v>0</v>
      </c>
      <c r="AA23" s="1165">
        <f t="shared" si="14"/>
        <v>3974</v>
      </c>
      <c r="AB23" s="1165">
        <f t="shared" si="14"/>
        <v>164</v>
      </c>
      <c r="AC23" s="1165">
        <f t="shared" si="14"/>
        <v>4138</v>
      </c>
      <c r="AD23" s="1165">
        <f t="shared" si="14"/>
        <v>0</v>
      </c>
      <c r="AE23" s="1169">
        <f t="shared" si="14"/>
        <v>0</v>
      </c>
      <c r="AF23" s="1162">
        <f t="shared" si="14"/>
        <v>0</v>
      </c>
      <c r="AG23" s="1170">
        <f t="shared" si="14"/>
        <v>0</v>
      </c>
      <c r="AH23" s="1167">
        <f t="shared" si="14"/>
        <v>0</v>
      </c>
      <c r="AI23" s="1162">
        <f t="shared" si="14"/>
        <v>153</v>
      </c>
      <c r="AJ23" s="1164">
        <f t="shared" si="14"/>
        <v>0</v>
      </c>
      <c r="AK23" s="1167">
        <f t="shared" si="14"/>
        <v>0</v>
      </c>
      <c r="AL23" s="1171">
        <f>IF(ISNUMBER(NºAsuntos!G23/NºAsuntos!E23),NºAsuntos!G23/NºAsuntos!E23," - ")</f>
        <v>1.0319849482596426</v>
      </c>
      <c r="AM23" s="1171">
        <f>IF(ISNUMBER(((NºAsuntos!I23/NºAsuntos!G23)*11)/factor_trimestre),((NºAsuntos!I23/NºAsuntos!G23)*11)/factor_trimestre," - ")</f>
        <v>10.86782133090246</v>
      </c>
      <c r="AN23" s="1172">
        <f>IF(ISNUMBER('Resol  Asuntos'!D23/NºAsuntos!G23),'Resol  Asuntos'!D23/NºAsuntos!G23," - ")</f>
        <v>0.13947128532360983</v>
      </c>
      <c r="AO23" s="1173">
        <f>IF(ISNUMBER((NºAsuntos!C23+NºAsuntos!E23)/NºAsuntos!G23),(NºAsuntos!C23+NºAsuntos!E23)/NºAsuntos!G23," - ")</f>
        <v>4.6171376481312674</v>
      </c>
      <c r="AP23" s="1174" t="str">
        <f t="shared" si="2"/>
        <v xml:space="preserve"> - </v>
      </c>
      <c r="AQ23" s="1174">
        <f>IF(ISNUMBER((H23-W23+K23)/(F23)),(H23-W23+K23)/(F23)," - ")</f>
        <v>-0.28280484660995103</v>
      </c>
      <c r="AR23" s="1175">
        <f>IF(ISNUMBER((Datos!P23-Datos!Q23)/(Datos!R23-Datos!P23+Datos!Q23)),(Datos!P23-Datos!Q23)/(Datos!R23-Datos!P23+Datos!Q23)," - ")</f>
        <v>4.4585987261146494E-2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3979</v>
      </c>
      <c r="G31" s="1118">
        <f t="shared" si="20"/>
        <v>4102</v>
      </c>
      <c r="H31" s="1117">
        <f t="shared" si="20"/>
        <v>0</v>
      </c>
      <c r="I31" s="1119">
        <f t="shared" si="20"/>
        <v>0</v>
      </c>
      <c r="J31" s="1119">
        <f t="shared" si="20"/>
        <v>0</v>
      </c>
      <c r="K31" s="1180">
        <f t="shared" si="20"/>
        <v>0</v>
      </c>
      <c r="L31" s="1119">
        <f t="shared" si="20"/>
        <v>205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1122</v>
      </c>
      <c r="X31" s="1118">
        <f t="shared" si="21"/>
        <v>53</v>
      </c>
      <c r="Y31" s="1125">
        <f t="shared" si="21"/>
        <v>1175</v>
      </c>
      <c r="Z31" s="1125">
        <f t="shared" si="21"/>
        <v>0</v>
      </c>
      <c r="AA31" s="1125">
        <f t="shared" si="21"/>
        <v>4067</v>
      </c>
      <c r="AB31" s="1125">
        <f t="shared" si="21"/>
        <v>6288</v>
      </c>
      <c r="AC31" s="1125">
        <f t="shared" si="21"/>
        <v>4231</v>
      </c>
      <c r="AD31" s="1125">
        <f t="shared" si="21"/>
        <v>0</v>
      </c>
      <c r="AE31" s="1127">
        <f t="shared" si="21"/>
        <v>0</v>
      </c>
      <c r="AF31" s="1128">
        <f t="shared" si="21"/>
        <v>0</v>
      </c>
      <c r="AG31" s="1129">
        <f t="shared" si="21"/>
        <v>0</v>
      </c>
      <c r="AH31" s="1127">
        <f t="shared" si="21"/>
        <v>0</v>
      </c>
      <c r="AI31" s="1117">
        <f t="shared" si="21"/>
        <v>449</v>
      </c>
      <c r="AJ31" s="1117">
        <f t="shared" si="21"/>
        <v>0</v>
      </c>
      <c r="AK31" s="1127">
        <f t="shared" si="21"/>
        <v>0</v>
      </c>
      <c r="AL31" s="1183">
        <f>IF(ISNUMBER(NºAsuntos!G31/NºAsuntos!E31),NºAsuntos!G31/NºAsuntos!E31," - ")</f>
        <v>0.80992080033347225</v>
      </c>
      <c r="AM31" s="1184">
        <f>IF(ISNUMBER(((NºAsuntos!I31/NºAsuntos!G31)*11)/factor_trimestre),((NºAsuntos!I31/NºAsuntos!G31)*11)/factor_trimestre," - ")</f>
        <v>18.193000514668039</v>
      </c>
      <c r="AN31" s="1184">
        <f>IF(ISNUMBER('Resol  Asuntos'!D31/NºAsuntos!G31),'Resol  Asuntos'!D31/NºAsuntos!G31," - ")</f>
        <v>0.23108594956253217</v>
      </c>
      <c r="AO31" s="1185">
        <f>IF(ISNUMBER((NºAsuntos!C31+NºAsuntos!E31)/NºAsuntos!G31),(NºAsuntos!C31+NºAsuntos!E31)/NºAsuntos!G31," - ")</f>
        <v>7.068965517241379</v>
      </c>
      <c r="AP31" s="1186" t="str">
        <f t="shared" si="2"/>
        <v xml:space="preserve"> - </v>
      </c>
      <c r="AQ31" s="1187">
        <f>IF(OR(ISNUMBER(FIND("01",Criterios!A8,1)),ISNUMBER(FIND("02",Criterios!A8,1)),ISNUMBER(FIND("03",Criterios!A8,1)),ISNUMBER(FIND("04",Criterios!A8,1))),(I31-W31+K31)/(F31-K31),(H31-W31+K31)/(F31-K31))</f>
        <v>-0.28198039708469463</v>
      </c>
      <c r="AR31" s="1188">
        <f>IF(ISNUMBER((Datos!P31-Datos!Q31)/(Datos!R31-Datos!P31+Datos!Q31)),(Datos!P31-Datos!Q31)/(Datos!R31-Datos!P31+Datos!Q31)," - ")</f>
        <v>2.4771838331160364E-2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1977.7927764724664</v>
      </c>
      <c r="G33" s="277">
        <f>IF(ISNUMBER(STDEV(G8:G30)),STDEV(G8:G30),"-")</f>
        <v>1890.2242371387229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503.07748148863948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124.32417303163533</v>
      </c>
      <c r="AJ33" s="276">
        <f t="shared" si="25"/>
        <v>0</v>
      </c>
      <c r="AK33" s="278">
        <f t="shared" si="25"/>
        <v>0</v>
      </c>
      <c r="AL33" s="273">
        <f t="shared" si="25"/>
        <v>0.29034711109467376</v>
      </c>
      <c r="AM33" s="274">
        <f t="shared" si="25"/>
        <v>9.7547818962297725</v>
      </c>
      <c r="AN33" s="274">
        <f t="shared" si="25"/>
        <v>0.17713105772063573</v>
      </c>
      <c r="AO33" s="275">
        <f t="shared" si="25"/>
        <v>3.2616958456144909</v>
      </c>
      <c r="AP33" s="317" t="str">
        <f t="shared" si="25"/>
        <v>-</v>
      </c>
      <c r="AQ33" s="318">
        <f t="shared" si="25"/>
        <v>2.3196529493680902E-2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5yDHTXjyDosuzCscgbsO24gHR1XKLXEBoxa366yyaNX6bs1zPFhEeGd7tw7FOrnZA5RK3PUV4R0OXvyVKDRsw==" saltValue="c4QgbBc8xulznkg9fwYM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GRANADILLA DE ABONA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0.14942528735632185</v>
      </c>
      <c r="E10" s="393">
        <f>IF(ISNUMBER((Datos!J10-Datos!T10)/Datos!T10),(Datos!J10-Datos!T10)/Datos!T10," - ")</f>
        <v>-0.1</v>
      </c>
      <c r="F10" s="393">
        <f>IF(ISNUMBER((Datos!K10-Datos!U10)/Datos!U10),(Datos!K10-Datos!U10)/Datos!U10," - ")</f>
        <v>-3.8461538461538464E-2</v>
      </c>
      <c r="G10" s="394">
        <f>IF(ISNUMBER((Datos!L10-Datos!V10)/Datos!V10),(Datos!L10-Datos!V10)/Datos!V10," - ")</f>
        <v>0.14814814814814814</v>
      </c>
      <c r="H10" s="244">
        <f>IF(ISNUMBER((Datos!M10-Datos!W10)/Datos!W10),(Datos!M10-Datos!W10)/Datos!W10," - ")</f>
        <v>4</v>
      </c>
      <c r="I10" s="395">
        <f>IF(ISNUMBER((Tasas!C10-Datos!BE10)/Datos!BE10),(Tasas!C10-Datos!BE10)/Datos!BE10," - ")</f>
        <v>0.19407407407407412</v>
      </c>
      <c r="J10" s="394">
        <f>IF(ISNUMBER((Tasas!D10-Datos!BF10)/Datos!BF10),(Tasas!D10-Datos!BF10)/Datos!BF10," - ")</f>
        <v>4.1999999999999993</v>
      </c>
      <c r="K10" s="396">
        <f>IF(ISNUMBER((Tasas!E10-Datos!BG10)/Datos!BG10),(Tasas!E10-Datos!BG10)/Datos!BG10," - ")</f>
        <v>0.14691588785046733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2.9304029304029304E-2</v>
      </c>
      <c r="I12" s="395">
        <f>IF(ISNUMBER((Tasas!C12-Datos!BE12)/Datos!BE12),(Tasas!C12-Datos!BE12)/Datos!BE12," - ")</f>
        <v>0.12077980326400135</v>
      </c>
      <c r="J12" s="394">
        <f>IF(ISNUMBER((Tasas!D12-Datos!BF12)/Datos!BF12),(Tasas!D12-Datos!BF12)/Datos!BF12," - ")</f>
        <v>0.15957201058423301</v>
      </c>
      <c r="K12" s="396">
        <f>IF(ISNUMBER((Tasas!E12-Datos!BG12)/Datos!BG12),(Tasas!E12-Datos!BG12)/Datos!BG12," - ")</f>
        <v>0.10985769543782348</v>
      </c>
      <c r="M12" t="e">
        <f>IF(Monitorios="SI",Datos!CE12,0)</f>
        <v>#REF!</v>
      </c>
      <c r="N12" t="e">
        <f>IF(Monitorios="SI",Datos!CF12,0)</f>
        <v>#REF!</v>
      </c>
      <c r="O12" t="e">
        <f>IF(Monitorios="SI",Datos!CG12,0)</f>
        <v>#REF!</v>
      </c>
      <c r="P12" t="e">
        <f>IF(Monitorios="SI",Datos!CH12,0)</f>
        <v>#REF!</v>
      </c>
      <c r="Q12">
        <f>IF(J_V="SI",0,Datos!AG12)</f>
        <v>88</v>
      </c>
      <c r="R12">
        <f>IF(J_V="SI",0,Datos!AH12)</f>
        <v>55</v>
      </c>
      <c r="S12">
        <f>IF(J_V="SI",0,Datos!AI12)</f>
        <v>40</v>
      </c>
      <c r="T12">
        <f>IF(J_V="SI",0,Datos!AJ12)</f>
        <v>103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7.2463768115942032E-2</v>
      </c>
      <c r="I14" s="402">
        <f>IF(ISNUMBER((Tasas!C14-Datos!BE14)/Datos!BE14),(Tasas!C14-Datos!BE14)/Datos!BE14," - ")</f>
        <v>0.1233757674711296</v>
      </c>
      <c r="J14" s="400">
        <f>IF(ISNUMBER((Tasas!D14-Datos!BF14)/Datos!BF14),(Tasas!D14-Datos!BF14)/Datos!BF14," - ")</f>
        <v>0.20895327196821084</v>
      </c>
      <c r="K14" s="403">
        <f>IF(ISNUMBER((Tasas!E14-Datos!BG14)/Datos!BG14),(Tasas!E14-Datos!BG14)/Datos!BG14," - ")</f>
        <v>0.1119134531918685</v>
      </c>
      <c r="M14" t="e">
        <f>IF(Monitorios="SI",Datos!CE14,0)</f>
        <v>#REF!</v>
      </c>
      <c r="N14" t="e">
        <f>IF(Monitorios="SI",Datos!CF14,0)</f>
        <v>#REF!</v>
      </c>
      <c r="O14" t="e">
        <f>IF(Monitorios="SI",Datos!CG14,0)</f>
        <v>#REF!</v>
      </c>
      <c r="P14" t="e">
        <f>IF(Monitorios="SI",Datos!CH14,0)</f>
        <v>#REF!</v>
      </c>
      <c r="Q14">
        <f>IF(J_V="SI",0,Datos!AG14)</f>
        <v>88</v>
      </c>
      <c r="R14">
        <f>IF(J_V="SI",0,Datos!AH14)</f>
        <v>55</v>
      </c>
      <c r="S14">
        <f>IF(J_V="SI",0,Datos!AI14)</f>
        <v>40</v>
      </c>
      <c r="T14">
        <f>IF(J_V="SI",0,Datos!AJ14)</f>
        <v>103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0.12816778327993009</v>
      </c>
      <c r="E17" s="393">
        <f>IF(ISNUMBER(
   IF(D_I="SI",(Datos!J17-Datos!T17)/Datos!T17,(Datos!J17+Datos!AD17-(Datos!T17+Datos!AL17))/(Datos!T17+Datos!AL17))
     ),IF(D_I="SI",(Datos!J17-Datos!T17)/Datos!T17,(Datos!J17+Datos!AD17-(Datos!T17+Datos!AL17))/(Datos!T17+Datos!AL17))," - ")</f>
        <v>-7.8244274809160311E-2</v>
      </c>
      <c r="F17" s="393">
        <f>IF(ISNUMBER(
   IF(D_I="SI",(Datos!K17-Datos!U17)/Datos!U17,(Datos!K17+Datos!AE17-(Datos!U17+Datos!AM17))/(Datos!U17+Datos!AM17))
     ),IF(D_I="SI",(Datos!K17-Datos!U17)/Datos!U17,(Datos!K17+Datos!AE17-(Datos!U17+Datos!AM17))/(Datos!U17+Datos!AM17))," - ")</f>
        <v>0.24447174447174447</v>
      </c>
      <c r="G17" s="394">
        <f>IF(ISNUMBER(
   IF(D_I="SI",(Datos!L17-Datos!V17)/Datos!V17,(Datos!L17+Datos!AF17-(Datos!V17+Datos!AN17))/(Datos!V17+Datos!AN17))
     ),IF(D_I="SI",(Datos!L17-Datos!V17)/Datos!V17,(Datos!L17+Datos!AF17-(Datos!V17+Datos!AN17))/(Datos!V17+Datos!AN17))," - ")</f>
        <v>4.187058183795541E-2</v>
      </c>
      <c r="H17" s="244">
        <f>IF(ISNUMBER((Datos!M17-Datos!W17)/Datos!W17),(Datos!M17-Datos!W17)/Datos!W17," - ")</f>
        <v>-0.22285714285714286</v>
      </c>
      <c r="I17" s="395">
        <f>IF(ISNUMBER((Tasas!C17-Datos!BE17)/Datos!BE17),(Tasas!C17-Datos!BE17)/Datos!BE17," - ")</f>
        <v>-0.16280093423879993</v>
      </c>
      <c r="J17" s="394">
        <f>IF(ISNUMBER((Tasas!D17-Datos!BF17)/Datos!BF17),(Tasas!D17-Datos!BF17)/Datos!BF17," - ")</f>
        <v>-0.37552390353969822</v>
      </c>
      <c r="K17" s="396">
        <f>IF(ISNUMBER((Tasas!E17-Datos!BG17)/Datos!BG17),(Tasas!E17-Datos!BG17)/Datos!BG17," - ")</f>
        <v>-0.13224797119702283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8.4033613445378158E-2</v>
      </c>
      <c r="E18" s="393">
        <f>IF(ISNUMBER(
   IF(D_I="SI",(Datos!J18-Datos!T18)/Datos!T18,(Datos!J18+Datos!AD18-(Datos!T18+Datos!AL18))/(Datos!T18+Datos!AL18))
     ),IF(D_I="SI",(Datos!J18-Datos!T18)/Datos!T18,(Datos!J18+Datos!AD18-(Datos!T18+Datos!AL18))/(Datos!T18+Datos!AL18))," - ")</f>
        <v>-0.11818181818181818</v>
      </c>
      <c r="F18" s="393">
        <f>IF(ISNUMBER(
   IF(D_I="SI",(Datos!K18-Datos!U18)/Datos!U18,(Datos!K18+Datos!AE18-(Datos!U18+Datos!AM18))/(Datos!U18+Datos!AM18))
     ),IF(D_I="SI",(Datos!K18-Datos!U18)/Datos!U18,(Datos!K18+Datos!AE18-(Datos!U18+Datos!AM18))/(Datos!U18+Datos!AM18))," - ")</f>
        <v>-0.17647058823529413</v>
      </c>
      <c r="G18" s="394">
        <f>IF(ISNUMBER(
   IF(D_I="SI",(Datos!L18-Datos!V18)/Datos!V18,(Datos!L18+Datos!AF18-(Datos!V18+Datos!AN18))/(Datos!V18+Datos!AN18))
     ),IF(D_I="SI",(Datos!L18-Datos!V18)/Datos!V18,(Datos!L18+Datos!AF18-(Datos!V18+Datos!AN18))/(Datos!V18+Datos!AN18))," - ")</f>
        <v>0.11811023622047244</v>
      </c>
      <c r="H18" s="244">
        <f>IF(ISNUMBER((Datos!M18-Datos!W18)/Datos!W18),(Datos!M18-Datos!W18)/Datos!W18," - ")</f>
        <v>-0.5</v>
      </c>
      <c r="I18" s="395">
        <f>IF(ISNUMBER((Tasas!C18-Datos!BE18)/Datos!BE18),(Tasas!C18-Datos!BE18)/Datos!BE18," - ")</f>
        <v>0.3577052868391451</v>
      </c>
      <c r="J18" s="394">
        <f>IF(ISNUMBER((Tasas!D18-Datos!BF18)/Datos!BF18),(Tasas!D18-Datos!BF18)/Datos!BF18," - ")</f>
        <v>-0.39285714285714279</v>
      </c>
      <c r="K18" s="396">
        <f>IF(ISNUMBER((Tasas!E18-Datos!BG18)/Datos!BG18),(Tasas!E18-Datos!BG18)/Datos!BG18," - ")</f>
        <v>0.19837804117280108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0.1266891891891892</v>
      </c>
      <c r="E23" s="399">
        <f>IF(ISNUMBER(
   IF(D_I="SI",(Datos!J23-Datos!T23)/Datos!T23,(Datos!J23+Datos!AD23-(Datos!T23+Datos!AL23))/(Datos!T23+Datos!AL23))
     ),IF(D_I="SI",(Datos!J23-Datos!T23)/Datos!T23,(Datos!J23+Datos!AD23-(Datos!T23+Datos!AL23))/(Datos!T23+Datos!AL23))," - ")</f>
        <v>-8.2037996545768571E-2</v>
      </c>
      <c r="F23" s="399">
        <f>IF(ISNUMBER(
   IF(D_I="SI",(Datos!K23-Datos!U23)/Datos!U23,(Datos!K23+Datos!AE23-(Datos!U23+Datos!AM23))/(Datos!U23+Datos!AM23))
     ),IF(D_I="SI",(Datos!K23-Datos!U23)/Datos!U23,(Datos!K23+Datos!AE23-(Datos!U23+Datos!AM23))/(Datos!U23+Datos!AM23))," - ")</f>
        <v>0.19759825327510916</v>
      </c>
      <c r="G23" s="400">
        <f>IF(ISNUMBER(
   IF(D_I="SI",(Datos!L23-Datos!V23)/Datos!V23,(Datos!L23+Datos!AF23-(Datos!V23+Datos!AN23))/(Datos!V23+Datos!AN23))
     ),IF(D_I="SI",(Datos!L23-Datos!V23)/Datos!V23,(Datos!L23+Datos!AF23-(Datos!V23+Datos!AN23))/(Datos!V23+Datos!AN23))," - ")</f>
        <v>4.4415243101182653E-2</v>
      </c>
      <c r="H23" s="401">
        <f>IF(ISNUMBER((Datos!M23-Datos!W23)/Datos!W23),(Datos!M23-Datos!W23)/Datos!W23," - ")</f>
        <v>-0.26794258373205743</v>
      </c>
      <c r="I23" s="402">
        <f>IF(ISNUMBER((Tasas!C23-Datos!BE23)/Datos!BE23),(Tasas!C23-Datos!BE23)/Datos!BE23," - ")</f>
        <v>-0.1279085116857947</v>
      </c>
      <c r="J23" s="400">
        <f>IF(ISNUMBER((Tasas!D23-Datos!BF23)/Datos!BF23),(Tasas!D23-Datos!BF23)/Datos!BF23," - ")</f>
        <v>-0.38872872078264781</v>
      </c>
      <c r="K23" s="403">
        <f>IF(ISNUMBER((Tasas!E23-Datos!BG23)/Datos!BG23),(Tasas!E23-Datos!BG23)/Datos!BG23," - ")</f>
        <v>-0.10205985441863255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0.15168139794778016</v>
      </c>
      <c r="E31" s="409">
        <f>IF(ISNUMBER(
   IF(J_V="SI",(Datos!J31-Datos!T31)/Datos!T31,(Datos!J31+Datos!Z31-(Datos!T31+Datos!AH31))/(Datos!T31+Datos!AH31))
     ),IF(J_V="SI",(Datos!J31-Datos!T31)/Datos!T31,(Datos!J31+Datos!Z31-(Datos!T31+Datos!AH31))/(Datos!T31+Datos!AH31))," - ")</f>
        <v>2.0416843896214378E-2</v>
      </c>
      <c r="F31" s="409">
        <f>IF(ISNUMBER(
   IF(J_V="SI",(Datos!K31-Datos!U31)/Datos!U31,(Datos!K31+Datos!AA31-(Datos!U31+Datos!AI31))/(Datos!U31+Datos!AI31))
     ),IF(J_V="SI",(Datos!K31-Datos!U31)/Datos!U31,(Datos!K31+Datos!AA31-(Datos!U31+Datos!AI31))/(Datos!U31+Datos!AI31))," - ")</f>
        <v>0.12442129629629629</v>
      </c>
      <c r="G31" s="410">
        <f>IF(ISNUMBER(
   IF(J_V="SI",(Datos!L31-Datos!V31)/Datos!V31,(Datos!L31+Datos!AB31-(Datos!V31+Datos!AJ31))/(Datos!V31+Datos!AJ31))
     ),IF(J_V="SI",(Datos!L31-Datos!V31)/Datos!V31,(Datos!L31+Datos!AB31-(Datos!V31+Datos!AJ31))/(Datos!V31+Datos!AJ31))," - ")</f>
        <v>0.12465400400878114</v>
      </c>
      <c r="H31" s="411">
        <f>IF(ISNUMBER((Datos!M31-Datos!W31)/Datos!W31),(Datos!M31-Datos!W31)/Datos!W31," - ")</f>
        <v>-7.422680412371134E-2</v>
      </c>
      <c r="I31" s="408">
        <f>IF(ISNUMBER((Tasas!C31-Datos!BE31)/Datos!BE31),(Tasas!C31-Datos!BE31)/Datos!BE31," - ")</f>
        <v>2.0695775973961257E-4</v>
      </c>
      <c r="J31" s="409">
        <f>IF(ISNUMBER((Tasas!D31-Datos!BF31)/Datos!BF31),(Tasas!D31-Datos!BF31)/Datos!BF31," - ")</f>
        <v>-0.10063846656744227</v>
      </c>
      <c r="K31" s="410">
        <f>IF(ISNUMBER((Tasas!E31-Datos!BG31)/Datos!BG31),(Tasas!E31-Datos!BG31)/Datos!BG31," - ")</f>
        <v>1.7362976704201414E-3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2.7408015837531798E-2</v>
      </c>
      <c r="E33" s="303">
        <f t="shared" si="1"/>
        <v>1.8353698984088104E-2</v>
      </c>
      <c r="F33" s="303">
        <f t="shared" si="1"/>
        <v>0.19877521548983185</v>
      </c>
      <c r="G33" s="304">
        <f t="shared" si="1"/>
        <v>5.3391342194090301E-2</v>
      </c>
      <c r="H33" s="310">
        <f t="shared" si="1"/>
        <v>1.7184032046351083</v>
      </c>
      <c r="I33" s="302">
        <f t="shared" si="1"/>
        <v>0.19786346756414255</v>
      </c>
      <c r="J33" s="303">
        <f t="shared" si="1"/>
        <v>1.8008866528384535</v>
      </c>
      <c r="K33" s="304">
        <f t="shared" si="1"/>
        <v>0.13782788872150034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catKNzbLVmgXgruu3VVAOMI8VVGfJLG1u6C7farVAaet+GuiqeNeDCy849B1Dd7GQn7164ZjJ6dqjsupyFYkg==" saltValue="Va8q16Uda/CKq5liBEOXC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